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Meetings/Agenda/Agenda 2025-26/9.  20th January 2026/"/>
    </mc:Choice>
  </mc:AlternateContent>
  <xr:revisionPtr revIDLastSave="5782" documentId="13_ncr:1_{6111D176-FF3F-48E3-9726-3018B7F18D79}" xr6:coauthVersionLast="47" xr6:coauthVersionMax="47" xr10:uidLastSave="{B55D9319-C9F1-4B11-A2F4-E58E0A0721C2}"/>
  <bookViews>
    <workbookView xWindow="-110" yWindow="-110" windowWidth="19420" windowHeight="10300" tabRatio="711" activeTab="5" xr2:uid="{00000000-000D-0000-FFFF-FFFF00000000}"/>
  </bookViews>
  <sheets>
    <sheet name="Annual Overview" sheetId="3" r:id="rId1"/>
    <sheet name="Annual Receipts" sheetId="2" r:id="rId2"/>
    <sheet name="Annual Expenditure" sheetId="1" r:id="rId3"/>
    <sheet name="Expenditure Q1" sheetId="4" r:id="rId4"/>
    <sheet name="Expenditure Q2" sheetId="5" r:id="rId5"/>
    <sheet name="Expenditure Q3" sheetId="6" r:id="rId6"/>
    <sheet name="Expenditure Q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7" i="6" l="1"/>
  <c r="K338" i="6"/>
  <c r="K339" i="6"/>
  <c r="K340" i="6"/>
  <c r="K341" i="6"/>
  <c r="K342" i="6"/>
  <c r="K343" i="6"/>
  <c r="K344" i="6"/>
  <c r="K345" i="6"/>
  <c r="K346" i="6"/>
  <c r="K336" i="6"/>
  <c r="L19" i="3"/>
  <c r="L5" i="7"/>
  <c r="L6" i="7"/>
  <c r="L7" i="7"/>
  <c r="L8" i="7"/>
  <c r="L9" i="7"/>
  <c r="L10" i="7"/>
  <c r="L11" i="7"/>
  <c r="L12" i="7"/>
  <c r="L13" i="7"/>
  <c r="L14" i="7"/>
  <c r="G14" i="7"/>
  <c r="H14" i="7"/>
  <c r="J14" i="7"/>
  <c r="G5" i="7"/>
  <c r="H5" i="7"/>
  <c r="J5" i="7"/>
  <c r="G6" i="7"/>
  <c r="H6" i="7"/>
  <c r="J6" i="7"/>
  <c r="G7" i="7"/>
  <c r="H7" i="7"/>
  <c r="J7" i="7"/>
  <c r="G8" i="7"/>
  <c r="H8" i="7"/>
  <c r="J8" i="7"/>
  <c r="G9" i="7"/>
  <c r="H9" i="7"/>
  <c r="J9" i="7"/>
  <c r="G10" i="7"/>
  <c r="H10" i="7"/>
  <c r="J10" i="7"/>
  <c r="G11" i="7"/>
  <c r="H11" i="7"/>
  <c r="J11" i="7"/>
  <c r="G12" i="7"/>
  <c r="H12" i="7"/>
  <c r="J12" i="7"/>
  <c r="G13" i="7"/>
  <c r="H13" i="7"/>
  <c r="J13" i="7"/>
  <c r="C5" i="7"/>
  <c r="C6" i="7"/>
  <c r="C7" i="7"/>
  <c r="C8" i="7"/>
  <c r="C9" i="7"/>
  <c r="C10" i="7"/>
  <c r="C11" i="7"/>
  <c r="C12" i="7"/>
  <c r="C13" i="7"/>
  <c r="C14" i="7"/>
  <c r="D5" i="7"/>
  <c r="D6" i="7"/>
  <c r="D7" i="7"/>
  <c r="D8" i="7"/>
  <c r="D9" i="7"/>
  <c r="D10" i="7"/>
  <c r="D11" i="7"/>
  <c r="D12" i="7"/>
  <c r="D13" i="7"/>
  <c r="D14" i="7"/>
  <c r="F5" i="7"/>
  <c r="F6" i="7"/>
  <c r="F7" i="7"/>
  <c r="F8" i="7"/>
  <c r="F9" i="7"/>
  <c r="F10" i="7"/>
  <c r="F11" i="7"/>
  <c r="F12" i="7"/>
  <c r="F13" i="7"/>
  <c r="F14" i="7"/>
  <c r="N467" i="1"/>
  <c r="N12" i="7" s="1"/>
  <c r="N464" i="1"/>
  <c r="N9" i="7" s="1"/>
  <c r="N463" i="1"/>
  <c r="N8" i="7" s="1"/>
  <c r="N461" i="1"/>
  <c r="N6" i="7" s="1"/>
  <c r="I460" i="1"/>
  <c r="I5" i="7" s="1"/>
  <c r="I461" i="1"/>
  <c r="I6" i="7" s="1"/>
  <c r="I462" i="1"/>
  <c r="I7" i="7" s="1"/>
  <c r="I463" i="1"/>
  <c r="I8" i="7" s="1"/>
  <c r="I464" i="1"/>
  <c r="I9" i="7" s="1"/>
  <c r="I465" i="1"/>
  <c r="I10" i="7" s="1"/>
  <c r="I466" i="1"/>
  <c r="I11" i="7" s="1"/>
  <c r="I467" i="1"/>
  <c r="I12" i="7" s="1"/>
  <c r="I468" i="1"/>
  <c r="I13" i="7" s="1"/>
  <c r="E337" i="6"/>
  <c r="E338" i="6"/>
  <c r="E339" i="6"/>
  <c r="E340" i="6"/>
  <c r="E341" i="6"/>
  <c r="E342" i="6"/>
  <c r="E343" i="6"/>
  <c r="E344" i="6"/>
  <c r="E345" i="6"/>
  <c r="E346" i="6"/>
  <c r="C337" i="6"/>
  <c r="C338" i="6"/>
  <c r="C339" i="6"/>
  <c r="C340" i="6"/>
  <c r="C341" i="6"/>
  <c r="C342" i="6"/>
  <c r="C343" i="6"/>
  <c r="C344" i="6"/>
  <c r="C345" i="6"/>
  <c r="C346" i="6"/>
  <c r="E336" i="6"/>
  <c r="C336" i="6"/>
  <c r="C350" i="6"/>
  <c r="C351" i="6"/>
  <c r="C352" i="6"/>
  <c r="C353" i="6"/>
  <c r="C354" i="6"/>
  <c r="C355" i="6"/>
  <c r="C356" i="6"/>
  <c r="C357" i="6"/>
  <c r="C358" i="6"/>
  <c r="C359" i="6"/>
  <c r="C360" i="6"/>
  <c r="C349" i="6"/>
  <c r="L4" i="7"/>
  <c r="H4" i="7"/>
  <c r="G4" i="7"/>
  <c r="D4" i="7"/>
  <c r="F4" i="7"/>
  <c r="G15" i="7"/>
  <c r="H15" i="7"/>
  <c r="J4" i="7"/>
  <c r="C4" i="7"/>
  <c r="H470" i="1"/>
  <c r="G470" i="1"/>
  <c r="N469" i="1"/>
  <c r="N14" i="7" s="1"/>
  <c r="N454" i="1"/>
  <c r="N369" i="6" s="1"/>
  <c r="N468" i="1"/>
  <c r="N13" i="7" s="1"/>
  <c r="N453" i="1"/>
  <c r="N466" i="1"/>
  <c r="N11" i="7" s="1"/>
  <c r="N465" i="1"/>
  <c r="N10" i="7" s="1"/>
  <c r="N424" i="1"/>
  <c r="N339" i="6" s="1"/>
  <c r="N462" i="1"/>
  <c r="N7" i="7" s="1"/>
  <c r="N414" i="1"/>
  <c r="N460" i="1"/>
  <c r="N5" i="7" s="1"/>
  <c r="N452" i="1"/>
  <c r="N367" i="6" s="1"/>
  <c r="N459" i="1"/>
  <c r="N4" i="7" s="1"/>
  <c r="N448" i="1"/>
  <c r="I469" i="1"/>
  <c r="I14" i="7" s="1"/>
  <c r="I459" i="1"/>
  <c r="N368" i="6"/>
  <c r="N363" i="6"/>
  <c r="L364" i="6"/>
  <c r="L365" i="6"/>
  <c r="L366" i="6"/>
  <c r="L367" i="6"/>
  <c r="L368" i="6"/>
  <c r="L369" i="6"/>
  <c r="L370" i="6"/>
  <c r="L371" i="6"/>
  <c r="K364" i="6"/>
  <c r="K365" i="6"/>
  <c r="K366" i="6"/>
  <c r="K367" i="6"/>
  <c r="K368" i="6"/>
  <c r="K369" i="6"/>
  <c r="K370" i="6"/>
  <c r="K371" i="6"/>
  <c r="J364" i="6"/>
  <c r="J365" i="6"/>
  <c r="J366" i="6"/>
  <c r="J367" i="6"/>
  <c r="J368" i="6"/>
  <c r="J369" i="6"/>
  <c r="J370" i="6"/>
  <c r="J371" i="6"/>
  <c r="I367" i="6"/>
  <c r="H364" i="6"/>
  <c r="H365" i="6"/>
  <c r="H366" i="6"/>
  <c r="H367" i="6"/>
  <c r="H368" i="6"/>
  <c r="H369" i="6"/>
  <c r="H370" i="6"/>
  <c r="H371" i="6"/>
  <c r="G364" i="6"/>
  <c r="G365" i="6"/>
  <c r="G366" i="6"/>
  <c r="G367" i="6"/>
  <c r="G368" i="6"/>
  <c r="G369" i="6"/>
  <c r="G370" i="6"/>
  <c r="G371" i="6"/>
  <c r="E364" i="6"/>
  <c r="E365" i="6"/>
  <c r="E366" i="6"/>
  <c r="E367" i="6"/>
  <c r="E368" i="6"/>
  <c r="E369" i="6"/>
  <c r="E370" i="6"/>
  <c r="E371" i="6"/>
  <c r="E363" i="6"/>
  <c r="F364" i="6"/>
  <c r="F365" i="6"/>
  <c r="F366" i="6"/>
  <c r="F367" i="6"/>
  <c r="F368" i="6"/>
  <c r="F369" i="6"/>
  <c r="F370" i="6"/>
  <c r="F371" i="6"/>
  <c r="D364" i="6"/>
  <c r="D365" i="6"/>
  <c r="D366" i="6"/>
  <c r="D367" i="6"/>
  <c r="D368" i="6"/>
  <c r="D369" i="6"/>
  <c r="D370" i="6"/>
  <c r="D371" i="6"/>
  <c r="C364" i="6"/>
  <c r="C365" i="6"/>
  <c r="C366" i="6"/>
  <c r="C367" i="6"/>
  <c r="C368" i="6"/>
  <c r="C369" i="6"/>
  <c r="C370" i="6"/>
  <c r="C371" i="6"/>
  <c r="C363" i="6"/>
  <c r="N456" i="1"/>
  <c r="N371" i="6" s="1"/>
  <c r="I456" i="1"/>
  <c r="I371" i="6" s="1"/>
  <c r="Q14" i="3"/>
  <c r="H14" i="3"/>
  <c r="C14" i="3"/>
  <c r="Q13" i="3"/>
  <c r="H13" i="3"/>
  <c r="H275" i="2"/>
  <c r="L363" i="6"/>
  <c r="K363" i="6"/>
  <c r="J363" i="6"/>
  <c r="I363" i="6"/>
  <c r="H363" i="6"/>
  <c r="G363" i="6"/>
  <c r="F363" i="6"/>
  <c r="E350" i="6"/>
  <c r="E351" i="6"/>
  <c r="E352" i="6"/>
  <c r="E353" i="6"/>
  <c r="E354" i="6"/>
  <c r="E355" i="6"/>
  <c r="E356" i="6"/>
  <c r="E357" i="6"/>
  <c r="E358" i="6"/>
  <c r="E359" i="6"/>
  <c r="E360" i="6"/>
  <c r="E349" i="6"/>
  <c r="F360" i="6"/>
  <c r="F359" i="6"/>
  <c r="D359" i="6"/>
  <c r="D360" i="6"/>
  <c r="D363" i="6"/>
  <c r="N455" i="1"/>
  <c r="N370" i="6" s="1"/>
  <c r="N412" i="1"/>
  <c r="N35" i="5" s="1"/>
  <c r="I455" i="1"/>
  <c r="I370" i="6" s="1"/>
  <c r="N442" i="1"/>
  <c r="N428" i="1"/>
  <c r="N415" i="1"/>
  <c r="N401" i="1"/>
  <c r="N24" i="5" s="1"/>
  <c r="N386" i="1"/>
  <c r="N9" i="5" s="1"/>
  <c r="N373" i="1"/>
  <c r="N373" i="4" s="1"/>
  <c r="N354" i="1"/>
  <c r="N354" i="4" s="1"/>
  <c r="N343" i="1"/>
  <c r="N343" i="4" s="1"/>
  <c r="N443" i="1"/>
  <c r="N449" i="1"/>
  <c r="N364" i="6" s="1"/>
  <c r="N451" i="1"/>
  <c r="N366" i="6" s="1"/>
  <c r="N450" i="1"/>
  <c r="N365" i="6" s="1"/>
  <c r="N441" i="1"/>
  <c r="G356" i="6" s="1" a="1"/>
  <c r="G356" i="6" s="1"/>
  <c r="N445" i="1"/>
  <c r="I454" i="1"/>
  <c r="I369" i="6" s="1"/>
  <c r="I453" i="1"/>
  <c r="I368" i="6" s="1"/>
  <c r="I450" i="1"/>
  <c r="I365" i="6" s="1"/>
  <c r="I451" i="1"/>
  <c r="I366" i="6" s="1"/>
  <c r="I449" i="1"/>
  <c r="I364" i="6" s="1"/>
  <c r="N444" i="1"/>
  <c r="N418" i="1"/>
  <c r="N41" i="5" s="1"/>
  <c r="I444" i="1"/>
  <c r="G359" i="6" s="1" a="1"/>
  <c r="G359" i="6" s="1"/>
  <c r="N409" i="1"/>
  <c r="N32" i="5" s="1"/>
  <c r="H446" i="1"/>
  <c r="I445" i="1"/>
  <c r="G360" i="6" s="1" a="1"/>
  <c r="G360" i="6" s="1"/>
  <c r="G446" i="1"/>
  <c r="C13" i="3"/>
  <c r="F355" i="6"/>
  <c r="N440" i="1"/>
  <c r="N398" i="1"/>
  <c r="N21" i="5" s="1"/>
  <c r="I440" i="1"/>
  <c r="D355" i="6"/>
  <c r="D356" i="6"/>
  <c r="D357" i="6"/>
  <c r="D358" i="6"/>
  <c r="F350" i="6"/>
  <c r="F351" i="6"/>
  <c r="F352" i="6"/>
  <c r="F353" i="6"/>
  <c r="F354" i="6"/>
  <c r="F356" i="6"/>
  <c r="F357" i="6"/>
  <c r="F358" i="6"/>
  <c r="F349" i="6"/>
  <c r="D350" i="6"/>
  <c r="D351" i="6"/>
  <c r="D352" i="6"/>
  <c r="D353" i="6"/>
  <c r="D354" i="6"/>
  <c r="D349" i="6"/>
  <c r="G345" i="6"/>
  <c r="H345" i="6"/>
  <c r="J345" i="6"/>
  <c r="L345" i="6"/>
  <c r="G346" i="6"/>
  <c r="H346" i="6"/>
  <c r="J346" i="6"/>
  <c r="L346" i="6"/>
  <c r="F345" i="6"/>
  <c r="F346" i="6"/>
  <c r="D345" i="6"/>
  <c r="D346" i="6"/>
  <c r="N429" i="1"/>
  <c r="N344" i="6" s="1"/>
  <c r="N437" i="1"/>
  <c r="N439" i="1"/>
  <c r="N365" i="1"/>
  <c r="N365" i="4" s="1"/>
  <c r="N438" i="1"/>
  <c r="N425" i="1"/>
  <c r="N340" i="6" s="1"/>
  <c r="N434" i="1"/>
  <c r="N436" i="1"/>
  <c r="N377" i="1"/>
  <c r="N377" i="4" s="1"/>
  <c r="N435" i="1"/>
  <c r="N431" i="1"/>
  <c r="N346" i="6" s="1"/>
  <c r="I439" i="1"/>
  <c r="G354" i="6" s="1" a="1"/>
  <c r="G354" i="6" s="1"/>
  <c r="I443" i="1"/>
  <c r="I442" i="1"/>
  <c r="I438" i="1"/>
  <c r="I437" i="1"/>
  <c r="G352" i="6" s="1" a="1"/>
  <c r="G352" i="6" s="1"/>
  <c r="I434" i="1"/>
  <c r="Q12" i="3"/>
  <c r="H12" i="3"/>
  <c r="N427" i="1"/>
  <c r="N342" i="6" s="1"/>
  <c r="I431" i="1"/>
  <c r="I346" i="6" s="1"/>
  <c r="N430" i="1"/>
  <c r="N345" i="6" s="1"/>
  <c r="I430" i="1"/>
  <c r="I345" i="6" s="1"/>
  <c r="N362" i="1"/>
  <c r="N360" i="1"/>
  <c r="L337" i="6"/>
  <c r="L338" i="6"/>
  <c r="L339" i="6"/>
  <c r="L340" i="6"/>
  <c r="L341" i="6"/>
  <c r="L342" i="6"/>
  <c r="L343" i="6"/>
  <c r="L344" i="6"/>
  <c r="J337" i="6"/>
  <c r="J338" i="6"/>
  <c r="J339" i="6"/>
  <c r="J340" i="6"/>
  <c r="J341" i="6"/>
  <c r="J342" i="6"/>
  <c r="J343" i="6"/>
  <c r="J344" i="6"/>
  <c r="H337" i="6"/>
  <c r="H338" i="6"/>
  <c r="H339" i="6"/>
  <c r="H340" i="6"/>
  <c r="H341" i="6"/>
  <c r="H342" i="6"/>
  <c r="H343" i="6"/>
  <c r="H344" i="6"/>
  <c r="G337" i="6"/>
  <c r="G338" i="6"/>
  <c r="G339" i="6"/>
  <c r="G340" i="6"/>
  <c r="G341" i="6"/>
  <c r="G342" i="6"/>
  <c r="G343" i="6"/>
  <c r="G344" i="6"/>
  <c r="F344" i="6"/>
  <c r="D344" i="6"/>
  <c r="F337" i="6"/>
  <c r="F338" i="6"/>
  <c r="F339" i="6"/>
  <c r="F340" i="6"/>
  <c r="F341" i="6"/>
  <c r="F342" i="6"/>
  <c r="F343" i="6"/>
  <c r="D337" i="6"/>
  <c r="D338" i="6"/>
  <c r="D339" i="6"/>
  <c r="D340" i="6"/>
  <c r="D341" i="6"/>
  <c r="D342" i="6"/>
  <c r="D343" i="6"/>
  <c r="N410" i="1"/>
  <c r="N33" i="5" s="1"/>
  <c r="I425" i="1"/>
  <c r="I340" i="6" s="1"/>
  <c r="I421" i="1"/>
  <c r="I336" i="6" s="1"/>
  <c r="N416" i="1"/>
  <c r="N39" i="5" s="1"/>
  <c r="I429" i="1"/>
  <c r="I344" i="6" s="1"/>
  <c r="I428" i="1"/>
  <c r="I343" i="6" s="1"/>
  <c r="N426" i="1"/>
  <c r="N341" i="6" s="1"/>
  <c r="I427" i="1"/>
  <c r="I342" i="6" s="1"/>
  <c r="H336" i="6"/>
  <c r="J336" i="6"/>
  <c r="L336" i="6"/>
  <c r="G336" i="6"/>
  <c r="F336" i="6"/>
  <c r="D336" i="6"/>
  <c r="N423" i="1"/>
  <c r="N338" i="6" s="1"/>
  <c r="N383" i="1"/>
  <c r="N6" i="5" s="1"/>
  <c r="N421" i="1"/>
  <c r="N336" i="6" s="1"/>
  <c r="N422" i="1"/>
  <c r="N337" i="6" s="1"/>
  <c r="N417" i="1"/>
  <c r="N40" i="5" s="1"/>
  <c r="I422" i="1"/>
  <c r="I337" i="6" s="1"/>
  <c r="I423" i="1"/>
  <c r="I338" i="6" s="1"/>
  <c r="I424" i="1"/>
  <c r="I339" i="6" s="1"/>
  <c r="I426" i="1"/>
  <c r="I341" i="6" s="1"/>
  <c r="C12" i="3"/>
  <c r="Q11" i="3"/>
  <c r="H11" i="3"/>
  <c r="C11" i="3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I37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E29" i="5"/>
  <c r="E30" i="5"/>
  <c r="E31" i="5"/>
  <c r="E32" i="5"/>
  <c r="E33" i="5"/>
  <c r="E34" i="5"/>
  <c r="E35" i="5"/>
  <c r="E36" i="5"/>
  <c r="E37" i="5"/>
  <c r="E38" i="5"/>
  <c r="E39" i="5"/>
  <c r="E41" i="5"/>
  <c r="E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N413" i="1"/>
  <c r="N36" i="5" s="1"/>
  <c r="I417" i="1"/>
  <c r="I40" i="5" s="1"/>
  <c r="G419" i="1"/>
  <c r="N402" i="1"/>
  <c r="N25" i="5" s="1"/>
  <c r="N37" i="5"/>
  <c r="N400" i="1"/>
  <c r="N23" i="5" s="1"/>
  <c r="H419" i="1"/>
  <c r="N405" i="1"/>
  <c r="N28" i="5" s="1"/>
  <c r="N411" i="1"/>
  <c r="N34" i="5" s="1"/>
  <c r="I418" i="1"/>
  <c r="I41" i="5" s="1"/>
  <c r="I416" i="1"/>
  <c r="I39" i="5" s="1"/>
  <c r="I415" i="1"/>
  <c r="I38" i="5" s="1"/>
  <c r="I413" i="1"/>
  <c r="I36" i="5" s="1"/>
  <c r="N363" i="1"/>
  <c r="N363" i="4" s="1"/>
  <c r="L28" i="5"/>
  <c r="K28" i="5"/>
  <c r="J28" i="5"/>
  <c r="I28" i="5"/>
  <c r="H28" i="5"/>
  <c r="G28" i="5"/>
  <c r="F28" i="5"/>
  <c r="D28" i="5"/>
  <c r="C28" i="5"/>
  <c r="L17" i="5"/>
  <c r="L18" i="5"/>
  <c r="L19" i="5"/>
  <c r="L20" i="5"/>
  <c r="L21" i="5"/>
  <c r="L22" i="5"/>
  <c r="L23" i="5"/>
  <c r="L24" i="5"/>
  <c r="L25" i="5"/>
  <c r="K17" i="5"/>
  <c r="K18" i="5"/>
  <c r="K19" i="5"/>
  <c r="K20" i="5"/>
  <c r="K21" i="5"/>
  <c r="K22" i="5"/>
  <c r="K23" i="5"/>
  <c r="K24" i="5"/>
  <c r="K25" i="5"/>
  <c r="J17" i="5"/>
  <c r="J18" i="5"/>
  <c r="J19" i="5"/>
  <c r="J20" i="5"/>
  <c r="J21" i="5"/>
  <c r="J22" i="5"/>
  <c r="J23" i="5"/>
  <c r="J24" i="5"/>
  <c r="J25" i="5"/>
  <c r="L16" i="5"/>
  <c r="K16" i="5"/>
  <c r="J16" i="5"/>
  <c r="H17" i="5"/>
  <c r="H18" i="5"/>
  <c r="H19" i="5"/>
  <c r="H20" i="5"/>
  <c r="H21" i="5"/>
  <c r="H22" i="5"/>
  <c r="H23" i="5"/>
  <c r="I23" i="5"/>
  <c r="H24" i="5"/>
  <c r="H25" i="5"/>
  <c r="H16" i="5"/>
  <c r="G17" i="5"/>
  <c r="G18" i="5"/>
  <c r="G19" i="5"/>
  <c r="G20" i="5"/>
  <c r="G21" i="5"/>
  <c r="G22" i="5"/>
  <c r="G23" i="5"/>
  <c r="G24" i="5"/>
  <c r="G25" i="5"/>
  <c r="G16" i="5"/>
  <c r="F17" i="5"/>
  <c r="F18" i="5"/>
  <c r="F19" i="5"/>
  <c r="F20" i="5"/>
  <c r="F21" i="5"/>
  <c r="F22" i="5"/>
  <c r="F23" i="5"/>
  <c r="F24" i="5"/>
  <c r="F25" i="5"/>
  <c r="F16" i="5"/>
  <c r="D17" i="5"/>
  <c r="D18" i="5"/>
  <c r="D19" i="5"/>
  <c r="D20" i="5"/>
  <c r="D21" i="5"/>
  <c r="D22" i="5"/>
  <c r="D23" i="5"/>
  <c r="D24" i="5"/>
  <c r="D25" i="5"/>
  <c r="D16" i="5"/>
  <c r="C17" i="5"/>
  <c r="C18" i="5"/>
  <c r="C19" i="5"/>
  <c r="C20" i="5"/>
  <c r="C21" i="5"/>
  <c r="C22" i="5"/>
  <c r="C23" i="5"/>
  <c r="C24" i="5"/>
  <c r="C25" i="5"/>
  <c r="C16" i="5"/>
  <c r="I412" i="1"/>
  <c r="I35" i="5" s="1"/>
  <c r="Q10" i="3"/>
  <c r="H10" i="3"/>
  <c r="C10" i="3"/>
  <c r="I411" i="1"/>
  <c r="I34" i="5" s="1"/>
  <c r="N397" i="1"/>
  <c r="N20" i="5" s="1"/>
  <c r="I410" i="1"/>
  <c r="I33" i="5" s="1"/>
  <c r="N408" i="1"/>
  <c r="N31" i="5" s="1"/>
  <c r="N407" i="1"/>
  <c r="N30" i="5" s="1"/>
  <c r="N337" i="1"/>
  <c r="N337" i="4" s="1"/>
  <c r="N406" i="1"/>
  <c r="N29" i="5" s="1"/>
  <c r="N341" i="1"/>
  <c r="N341" i="4" s="1"/>
  <c r="N399" i="1"/>
  <c r="N22" i="5" s="1"/>
  <c r="I409" i="1"/>
  <c r="I32" i="5" s="1"/>
  <c r="I408" i="1"/>
  <c r="I31" i="5" s="1"/>
  <c r="I407" i="1"/>
  <c r="I30" i="5" s="1"/>
  <c r="I406" i="1"/>
  <c r="I29" i="5" s="1"/>
  <c r="H403" i="1"/>
  <c r="G403" i="1"/>
  <c r="N395" i="1"/>
  <c r="N18" i="5" s="1"/>
  <c r="N387" i="1"/>
  <c r="N10" i="5" s="1"/>
  <c r="I402" i="1"/>
  <c r="I25" i="5" s="1"/>
  <c r="I401" i="1"/>
  <c r="I24" i="5" s="1"/>
  <c r="N385" i="1"/>
  <c r="N8" i="5" s="1"/>
  <c r="N390" i="1"/>
  <c r="N13" i="5" s="1"/>
  <c r="N396" i="1"/>
  <c r="N19" i="5" s="1"/>
  <c r="N389" i="1"/>
  <c r="N12" i="5" s="1"/>
  <c r="N394" i="1"/>
  <c r="N17" i="5" s="1"/>
  <c r="N393" i="1"/>
  <c r="N16" i="5" s="1"/>
  <c r="N388" i="1"/>
  <c r="N11" i="5" s="1"/>
  <c r="I399" i="1"/>
  <c r="I22" i="5" s="1"/>
  <c r="K5" i="5"/>
  <c r="K6" i="5"/>
  <c r="K7" i="5"/>
  <c r="K8" i="5"/>
  <c r="K9" i="5"/>
  <c r="K10" i="5"/>
  <c r="K11" i="5"/>
  <c r="K12" i="5"/>
  <c r="K13" i="5"/>
  <c r="K4" i="5"/>
  <c r="Q9" i="3"/>
  <c r="H9" i="3"/>
  <c r="C9" i="3"/>
  <c r="H8" i="3"/>
  <c r="I393" i="1"/>
  <c r="I16" i="5" s="1"/>
  <c r="I395" i="1"/>
  <c r="I18" i="5" s="1"/>
  <c r="I396" i="1"/>
  <c r="I19" i="5" s="1"/>
  <c r="I397" i="1"/>
  <c r="I20" i="5" s="1"/>
  <c r="I398" i="1"/>
  <c r="I21" i="5" s="1"/>
  <c r="I394" i="1"/>
  <c r="I17" i="5" s="1"/>
  <c r="N372" i="1"/>
  <c r="N372" i="4" s="1"/>
  <c r="L11" i="5"/>
  <c r="L12" i="5"/>
  <c r="L13" i="5"/>
  <c r="G11" i="5"/>
  <c r="H11" i="5"/>
  <c r="J11" i="5"/>
  <c r="G12" i="5"/>
  <c r="H12" i="5"/>
  <c r="J12" i="5"/>
  <c r="G13" i="5"/>
  <c r="H13" i="5"/>
  <c r="J13" i="5"/>
  <c r="F11" i="5"/>
  <c r="F12" i="5"/>
  <c r="F13" i="5"/>
  <c r="D11" i="5"/>
  <c r="D12" i="5"/>
  <c r="D13" i="5"/>
  <c r="N378" i="1"/>
  <c r="N378" i="4" s="1"/>
  <c r="N364" i="1"/>
  <c r="N364" i="4" s="1"/>
  <c r="N384" i="1"/>
  <c r="N7" i="5" s="1"/>
  <c r="H391" i="1"/>
  <c r="I390" i="1"/>
  <c r="I13" i="5" s="1"/>
  <c r="G391" i="1"/>
  <c r="I389" i="1"/>
  <c r="I12" i="5" s="1"/>
  <c r="I388" i="1"/>
  <c r="I11" i="5" s="1"/>
  <c r="L337" i="4"/>
  <c r="L338" i="4"/>
  <c r="L339" i="4"/>
  <c r="L340" i="4"/>
  <c r="L341" i="4"/>
  <c r="L342" i="4"/>
  <c r="L343" i="4"/>
  <c r="L344" i="4"/>
  <c r="K337" i="4"/>
  <c r="K338" i="4"/>
  <c r="K339" i="4"/>
  <c r="K340" i="4"/>
  <c r="K341" i="4"/>
  <c r="K342" i="4"/>
  <c r="K343" i="4"/>
  <c r="K344" i="4"/>
  <c r="J337" i="4"/>
  <c r="J338" i="4"/>
  <c r="J339" i="4"/>
  <c r="J340" i="4"/>
  <c r="J341" i="4"/>
  <c r="J342" i="4"/>
  <c r="J343" i="4"/>
  <c r="J344" i="4"/>
  <c r="H337" i="4"/>
  <c r="H338" i="4"/>
  <c r="H339" i="4"/>
  <c r="H340" i="4"/>
  <c r="H341" i="4"/>
  <c r="H342" i="4"/>
  <c r="H343" i="4"/>
  <c r="H344" i="4"/>
  <c r="G337" i="4"/>
  <c r="G338" i="4"/>
  <c r="G339" i="4"/>
  <c r="G340" i="4"/>
  <c r="G341" i="4"/>
  <c r="G342" i="4"/>
  <c r="G343" i="4"/>
  <c r="G344" i="4"/>
  <c r="F337" i="4"/>
  <c r="F338" i="4"/>
  <c r="F339" i="4"/>
  <c r="F340" i="4"/>
  <c r="F341" i="4"/>
  <c r="F342" i="4"/>
  <c r="F343" i="4"/>
  <c r="F344" i="4"/>
  <c r="E337" i="4"/>
  <c r="E338" i="4"/>
  <c r="E339" i="4"/>
  <c r="E340" i="4"/>
  <c r="E341" i="4"/>
  <c r="E342" i="4"/>
  <c r="E343" i="4"/>
  <c r="E344" i="4"/>
  <c r="D337" i="4"/>
  <c r="D338" i="4"/>
  <c r="D339" i="4"/>
  <c r="D340" i="4"/>
  <c r="D341" i="4"/>
  <c r="D342" i="4"/>
  <c r="D343" i="4"/>
  <c r="D344" i="4"/>
  <c r="C337" i="4"/>
  <c r="C338" i="4"/>
  <c r="C339" i="4"/>
  <c r="C340" i="4"/>
  <c r="C341" i="4"/>
  <c r="C342" i="4"/>
  <c r="C343" i="4"/>
  <c r="C344" i="4"/>
  <c r="N374" i="1"/>
  <c r="N374" i="4" s="1"/>
  <c r="N371" i="1"/>
  <c r="N371" i="4" s="1"/>
  <c r="N338" i="1"/>
  <c r="N338" i="4" s="1"/>
  <c r="N382" i="1"/>
  <c r="N5" i="5" s="1"/>
  <c r="N381" i="1"/>
  <c r="N4" i="5" s="1"/>
  <c r="N368" i="1"/>
  <c r="N368" i="4" s="1"/>
  <c r="L5" i="5"/>
  <c r="L6" i="5"/>
  <c r="L7" i="5"/>
  <c r="L8" i="5"/>
  <c r="L9" i="5"/>
  <c r="L10" i="5"/>
  <c r="L4" i="5"/>
  <c r="G5" i="5"/>
  <c r="H5" i="5"/>
  <c r="J5" i="5"/>
  <c r="G6" i="5"/>
  <c r="H6" i="5"/>
  <c r="J6" i="5"/>
  <c r="G7" i="5"/>
  <c r="H7" i="5"/>
  <c r="J7" i="5"/>
  <c r="G8" i="5"/>
  <c r="H8" i="5"/>
  <c r="J8" i="5"/>
  <c r="G9" i="5"/>
  <c r="H9" i="5"/>
  <c r="J9" i="5"/>
  <c r="G10" i="5"/>
  <c r="H10" i="5"/>
  <c r="J10" i="5"/>
  <c r="H4" i="5"/>
  <c r="J4" i="5"/>
  <c r="G4" i="5"/>
  <c r="F5" i="5"/>
  <c r="F6" i="5"/>
  <c r="F7" i="5"/>
  <c r="F8" i="5"/>
  <c r="F9" i="5"/>
  <c r="F10" i="5"/>
  <c r="F4" i="5"/>
  <c r="D5" i="5"/>
  <c r="D6" i="5"/>
  <c r="D7" i="5"/>
  <c r="D8" i="5"/>
  <c r="D9" i="5"/>
  <c r="D10" i="5"/>
  <c r="D4" i="5"/>
  <c r="I387" i="1"/>
  <c r="I10" i="5" s="1"/>
  <c r="I386" i="1"/>
  <c r="I9" i="5" s="1"/>
  <c r="I385" i="1"/>
  <c r="I384" i="1"/>
  <c r="I7" i="5" s="1"/>
  <c r="I383" i="1"/>
  <c r="I6" i="5" s="1"/>
  <c r="I382" i="1"/>
  <c r="I5" i="5" s="1"/>
  <c r="I381" i="1"/>
  <c r="G360" i="4"/>
  <c r="H360" i="4"/>
  <c r="J360" i="4"/>
  <c r="L360" i="4"/>
  <c r="G361" i="4"/>
  <c r="H361" i="4"/>
  <c r="J361" i="4"/>
  <c r="L361" i="4"/>
  <c r="G362" i="4"/>
  <c r="H362" i="4"/>
  <c r="J362" i="4"/>
  <c r="L362" i="4"/>
  <c r="G363" i="4"/>
  <c r="H363" i="4"/>
  <c r="J363" i="4"/>
  <c r="L363" i="4"/>
  <c r="G364" i="4"/>
  <c r="H364" i="4"/>
  <c r="J364" i="4"/>
  <c r="L364" i="4"/>
  <c r="G365" i="4"/>
  <c r="H365" i="4"/>
  <c r="J365" i="4"/>
  <c r="L365" i="4"/>
  <c r="G366" i="4"/>
  <c r="H366" i="4"/>
  <c r="J366" i="4"/>
  <c r="L366" i="4"/>
  <c r="G367" i="4"/>
  <c r="H367" i="4"/>
  <c r="J367" i="4"/>
  <c r="L367" i="4"/>
  <c r="G368" i="4"/>
  <c r="H368" i="4"/>
  <c r="J368" i="4"/>
  <c r="L368" i="4"/>
  <c r="G369" i="4"/>
  <c r="H369" i="4"/>
  <c r="J369" i="4"/>
  <c r="L369" i="4"/>
  <c r="G370" i="4"/>
  <c r="H370" i="4"/>
  <c r="J370" i="4"/>
  <c r="L370" i="4"/>
  <c r="G371" i="4"/>
  <c r="H371" i="4"/>
  <c r="J371" i="4"/>
  <c r="L371" i="4"/>
  <c r="G372" i="4"/>
  <c r="H372" i="4"/>
  <c r="J372" i="4"/>
  <c r="L372" i="4"/>
  <c r="G373" i="4"/>
  <c r="H373" i="4"/>
  <c r="J373" i="4"/>
  <c r="L373" i="4"/>
  <c r="G374" i="4"/>
  <c r="H374" i="4"/>
  <c r="J374" i="4"/>
  <c r="L374" i="4"/>
  <c r="G375" i="4"/>
  <c r="H375" i="4"/>
  <c r="J375" i="4"/>
  <c r="L375" i="4"/>
  <c r="G376" i="4"/>
  <c r="H376" i="4"/>
  <c r="J376" i="4"/>
  <c r="L376" i="4"/>
  <c r="G377" i="4"/>
  <c r="H377" i="4"/>
  <c r="J377" i="4"/>
  <c r="L377" i="4"/>
  <c r="G378" i="4"/>
  <c r="H378" i="4"/>
  <c r="J378" i="4"/>
  <c r="L378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L348" i="4"/>
  <c r="L349" i="4"/>
  <c r="L350" i="4"/>
  <c r="L351" i="4"/>
  <c r="L352" i="4"/>
  <c r="L353" i="4"/>
  <c r="L354" i="4"/>
  <c r="L355" i="4"/>
  <c r="L356" i="4"/>
  <c r="K348" i="4"/>
  <c r="K349" i="4"/>
  <c r="K350" i="4"/>
  <c r="K351" i="4"/>
  <c r="K352" i="4"/>
  <c r="K353" i="4"/>
  <c r="K354" i="4"/>
  <c r="K355" i="4"/>
  <c r="K356" i="4"/>
  <c r="J348" i="4"/>
  <c r="J349" i="4"/>
  <c r="J350" i="4"/>
  <c r="J351" i="4"/>
  <c r="J352" i="4"/>
  <c r="J353" i="4"/>
  <c r="J354" i="4"/>
  <c r="J355" i="4"/>
  <c r="J356" i="4"/>
  <c r="H348" i="4"/>
  <c r="H349" i="4"/>
  <c r="H350" i="4"/>
  <c r="H351" i="4"/>
  <c r="H352" i="4"/>
  <c r="H353" i="4"/>
  <c r="H354" i="4"/>
  <c r="H355" i="4"/>
  <c r="H356" i="4"/>
  <c r="G348" i="4"/>
  <c r="G349" i="4"/>
  <c r="G350" i="4"/>
  <c r="G351" i="4"/>
  <c r="G352" i="4"/>
  <c r="G353" i="4"/>
  <c r="G354" i="4"/>
  <c r="G355" i="4"/>
  <c r="G356" i="4"/>
  <c r="F348" i="4"/>
  <c r="F349" i="4"/>
  <c r="F350" i="4"/>
  <c r="F351" i="4"/>
  <c r="F352" i="4"/>
  <c r="F353" i="4"/>
  <c r="F354" i="4"/>
  <c r="F355" i="4"/>
  <c r="F356" i="4"/>
  <c r="E348" i="4"/>
  <c r="E349" i="4"/>
  <c r="E350" i="4"/>
  <c r="E351" i="4"/>
  <c r="E352" i="4"/>
  <c r="E353" i="4"/>
  <c r="E354" i="4"/>
  <c r="E355" i="4"/>
  <c r="E356" i="4"/>
  <c r="D348" i="4"/>
  <c r="D349" i="4"/>
  <c r="D350" i="4"/>
  <c r="D351" i="4"/>
  <c r="D352" i="4"/>
  <c r="D353" i="4"/>
  <c r="D354" i="4"/>
  <c r="D355" i="4"/>
  <c r="D356" i="4"/>
  <c r="C348" i="4"/>
  <c r="C349" i="4"/>
  <c r="C350" i="4"/>
  <c r="C351" i="4"/>
  <c r="C352" i="4"/>
  <c r="C353" i="4"/>
  <c r="C354" i="4"/>
  <c r="C355" i="4"/>
  <c r="C356" i="4"/>
  <c r="N375" i="1"/>
  <c r="N375" i="4" s="1"/>
  <c r="H379" i="1"/>
  <c r="I378" i="1"/>
  <c r="I378" i="4" s="1"/>
  <c r="G379" i="1"/>
  <c r="N376" i="1"/>
  <c r="N376" i="4" s="1"/>
  <c r="I377" i="1"/>
  <c r="I377" i="4" s="1"/>
  <c r="I376" i="1"/>
  <c r="I376" i="4" s="1"/>
  <c r="Q8" i="3"/>
  <c r="I375" i="1"/>
  <c r="I375" i="4" s="1"/>
  <c r="I372" i="1"/>
  <c r="I372" i="4" s="1"/>
  <c r="C8" i="3"/>
  <c r="Q7" i="3"/>
  <c r="H7" i="3"/>
  <c r="C7" i="3"/>
  <c r="H234" i="2"/>
  <c r="N355" i="1"/>
  <c r="N355" i="4" s="1"/>
  <c r="N353" i="1"/>
  <c r="N353" i="4" s="1"/>
  <c r="N370" i="1"/>
  <c r="N370" i="4" s="1"/>
  <c r="N369" i="1"/>
  <c r="N369" i="4" s="1"/>
  <c r="N367" i="1"/>
  <c r="N367" i="4" s="1"/>
  <c r="N366" i="1"/>
  <c r="N366" i="4" s="1"/>
  <c r="N359" i="1"/>
  <c r="N352" i="1"/>
  <c r="N352" i="4" s="1"/>
  <c r="N361" i="1"/>
  <c r="N361" i="4" s="1"/>
  <c r="N356" i="1"/>
  <c r="N356" i="4" s="1"/>
  <c r="N350" i="1"/>
  <c r="N350" i="4" s="1"/>
  <c r="N344" i="1"/>
  <c r="N344" i="4" s="1"/>
  <c r="N342" i="1"/>
  <c r="N342" i="4" s="1"/>
  <c r="N351" i="1"/>
  <c r="N351" i="4" s="1"/>
  <c r="N348" i="1"/>
  <c r="N348" i="4" s="1"/>
  <c r="N347" i="1"/>
  <c r="N336" i="1"/>
  <c r="N339" i="1"/>
  <c r="N339" i="4" s="1"/>
  <c r="I368" i="1"/>
  <c r="I368" i="4" s="1"/>
  <c r="I367" i="1"/>
  <c r="I367" i="4" s="1"/>
  <c r="I370" i="1"/>
  <c r="I370" i="4" s="1"/>
  <c r="I366" i="1"/>
  <c r="I366" i="4" s="1"/>
  <c r="I363" i="1"/>
  <c r="I363" i="4" s="1"/>
  <c r="I362" i="1"/>
  <c r="I362" i="4" s="1"/>
  <c r="I361" i="1"/>
  <c r="I361" i="4" s="1"/>
  <c r="I356" i="1"/>
  <c r="I356" i="4" s="1"/>
  <c r="I352" i="1"/>
  <c r="I352" i="4" s="1"/>
  <c r="I340" i="1"/>
  <c r="N349" i="1" s="1"/>
  <c r="N349" i="4" s="1"/>
  <c r="Q6" i="3"/>
  <c r="H6" i="3"/>
  <c r="H295" i="2"/>
  <c r="H43" i="7"/>
  <c r="G43" i="7"/>
  <c r="H497" i="1"/>
  <c r="G497" i="1"/>
  <c r="H23" i="7"/>
  <c r="G23" i="7"/>
  <c r="H477" i="1"/>
  <c r="G477" i="1"/>
  <c r="H282" i="2"/>
  <c r="H457" i="1"/>
  <c r="H372" i="6" s="1"/>
  <c r="G457" i="1"/>
  <c r="G372" i="6" s="1"/>
  <c r="I4" i="7" l="1"/>
  <c r="I15" i="7" s="1"/>
  <c r="I470" i="1"/>
  <c r="G355" i="6" a="1"/>
  <c r="G355" i="6" s="1"/>
  <c r="G351" i="6" a="1"/>
  <c r="G351" i="6" s="1"/>
  <c r="G350" i="6" a="1"/>
  <c r="G350" i="6" s="1"/>
  <c r="I446" i="1"/>
  <c r="G353" i="6" a="1"/>
  <c r="G353" i="6" s="1"/>
  <c r="G349" i="6" a="1"/>
  <c r="G349" i="6" s="1"/>
  <c r="G358" i="6" a="1"/>
  <c r="G358" i="6" s="1"/>
  <c r="N343" i="6"/>
  <c r="P418" i="1"/>
  <c r="G357" i="6" a="1"/>
  <c r="G357" i="6" s="1"/>
  <c r="N38" i="5"/>
  <c r="I419" i="1"/>
  <c r="I403" i="1"/>
  <c r="H14" i="5"/>
  <c r="G14" i="5"/>
  <c r="I391" i="1"/>
  <c r="I4" i="5"/>
  <c r="I340" i="4"/>
  <c r="I8" i="5"/>
  <c r="N340" i="1"/>
  <c r="N340" i="4" s="1"/>
  <c r="I43" i="7"/>
  <c r="I497" i="1"/>
  <c r="I23" i="7"/>
  <c r="I477" i="1"/>
  <c r="I457" i="1"/>
  <c r="I372" i="6" s="1"/>
  <c r="H432" i="1"/>
  <c r="G432" i="1"/>
  <c r="H253" i="2"/>
  <c r="G253" i="2"/>
  <c r="I14" i="5" l="1"/>
  <c r="H347" i="6"/>
  <c r="G347" i="6"/>
  <c r="I347" i="6"/>
  <c r="I432" i="1"/>
  <c r="P430" i="1" s="1"/>
  <c r="D347" i="4"/>
  <c r="I360" i="1"/>
  <c r="I360" i="4" s="1"/>
  <c r="I364" i="1"/>
  <c r="I364" i="4" s="1"/>
  <c r="I365" i="1"/>
  <c r="I365" i="4" s="1"/>
  <c r="I369" i="1"/>
  <c r="I369" i="4" s="1"/>
  <c r="I371" i="1"/>
  <c r="I371" i="4" s="1"/>
  <c r="I373" i="1"/>
  <c r="I373" i="4" s="1"/>
  <c r="I374" i="1"/>
  <c r="I374" i="4" s="1"/>
  <c r="I359" i="1"/>
  <c r="H357" i="1"/>
  <c r="G357" i="1"/>
  <c r="I355" i="1"/>
  <c r="I355" i="4" s="1"/>
  <c r="I354" i="1"/>
  <c r="I354" i="4" s="1"/>
  <c r="I351" i="1"/>
  <c r="I351" i="4" s="1"/>
  <c r="I353" i="1"/>
  <c r="I353" i="4" s="1"/>
  <c r="E347" i="4"/>
  <c r="F347" i="4"/>
  <c r="G347" i="4"/>
  <c r="G357" i="4" s="1"/>
  <c r="H347" i="4"/>
  <c r="H357" i="4" s="1"/>
  <c r="J347" i="4"/>
  <c r="K347" i="4"/>
  <c r="L347" i="4"/>
  <c r="C347" i="4"/>
  <c r="I350" i="1"/>
  <c r="I350" i="4" s="1"/>
  <c r="I348" i="1"/>
  <c r="I348" i="4" s="1"/>
  <c r="I349" i="1"/>
  <c r="I349" i="4" s="1"/>
  <c r="H345" i="1"/>
  <c r="G345" i="1"/>
  <c r="N347" i="4"/>
  <c r="I342" i="1"/>
  <c r="I342" i="4" s="1"/>
  <c r="I337" i="1"/>
  <c r="I337" i="4" s="1"/>
  <c r="I338" i="1"/>
  <c r="I338" i="4" s="1"/>
  <c r="I339" i="1"/>
  <c r="I339" i="4" s="1"/>
  <c r="I341" i="1"/>
  <c r="I341" i="4" s="1"/>
  <c r="I347" i="1"/>
  <c r="I347" i="4" s="1"/>
  <c r="I343" i="1"/>
  <c r="I343" i="4" s="1"/>
  <c r="I344" i="1"/>
  <c r="I344" i="4" s="1"/>
  <c r="I336" i="1"/>
  <c r="I357" i="4" l="1"/>
  <c r="I379" i="1"/>
  <c r="I357" i="1"/>
  <c r="I345" i="1"/>
  <c r="G289" i="2"/>
  <c r="H289" i="2"/>
  <c r="H285" i="2"/>
  <c r="I289" i="2" l="1"/>
  <c r="G275" i="2"/>
  <c r="H268" i="2"/>
  <c r="G268" i="2"/>
  <c r="H42" i="5"/>
  <c r="I261" i="2"/>
  <c r="I268" i="2" l="1"/>
  <c r="G245" i="2"/>
  <c r="H245" i="2"/>
  <c r="E359" i="4"/>
  <c r="C359" i="4"/>
  <c r="N359" i="4"/>
  <c r="G238" i="2"/>
  <c r="G234" i="2"/>
  <c r="I234" i="2" s="1"/>
  <c r="L359" i="4"/>
  <c r="J359" i="4"/>
  <c r="G359" i="4"/>
  <c r="G379" i="4" s="1"/>
  <c r="H359" i="4"/>
  <c r="H379" i="4" s="1"/>
  <c r="F359" i="4"/>
  <c r="D359" i="4"/>
  <c r="I359" i="4"/>
  <c r="I379" i="4" s="1"/>
  <c r="G229" i="2"/>
  <c r="I42" i="5" l="1"/>
  <c r="I245" i="2"/>
  <c r="Q19" i="3"/>
  <c r="M19" i="3"/>
  <c r="N19" i="3"/>
  <c r="O19" i="3"/>
  <c r="P19" i="3"/>
  <c r="K19" i="3"/>
  <c r="K336" i="4" l="1"/>
  <c r="H336" i="4"/>
  <c r="D336" i="4"/>
  <c r="E336" i="4"/>
  <c r="F336" i="4"/>
  <c r="G336" i="4"/>
  <c r="J336" i="4"/>
  <c r="L336" i="4"/>
  <c r="C336" i="4"/>
  <c r="B336" i="4"/>
  <c r="N336" i="4"/>
  <c r="H261" i="2"/>
  <c r="G295" i="2"/>
  <c r="I295" i="2" s="1"/>
  <c r="G285" i="2"/>
  <c r="I285" i="2" s="1"/>
  <c r="G282" i="2"/>
  <c r="I282" i="2" s="1"/>
  <c r="G261" i="2"/>
  <c r="I275" i="2" l="1"/>
  <c r="G437" i="6"/>
  <c r="H361" i="6"/>
  <c r="G361" i="6"/>
  <c r="H331" i="6"/>
  <c r="G331" i="6"/>
  <c r="I327" i="6"/>
  <c r="I326" i="6"/>
  <c r="I325" i="6"/>
  <c r="I324" i="6"/>
  <c r="I323" i="6"/>
  <c r="I322" i="6"/>
  <c r="I321" i="6"/>
  <c r="I320" i="6"/>
  <c r="H319" i="6"/>
  <c r="G319" i="6"/>
  <c r="I318" i="6"/>
  <c r="I317" i="6"/>
  <c r="I316" i="6"/>
  <c r="I315" i="6"/>
  <c r="I314" i="6"/>
  <c r="I313" i="6"/>
  <c r="I312" i="6"/>
  <c r="I311" i="6"/>
  <c r="I310" i="6"/>
  <c r="I309" i="6"/>
  <c r="H308" i="6"/>
  <c r="G308" i="6"/>
  <c r="I305" i="6"/>
  <c r="I304" i="6"/>
  <c r="I303" i="6"/>
  <c r="I302" i="6"/>
  <c r="I301" i="6"/>
  <c r="I300" i="6"/>
  <c r="I299" i="6"/>
  <c r="I298" i="6"/>
  <c r="I297" i="6"/>
  <c r="H294" i="6"/>
  <c r="G294" i="6"/>
  <c r="I292" i="6"/>
  <c r="I291" i="6"/>
  <c r="I290" i="6"/>
  <c r="I289" i="6"/>
  <c r="I288" i="6"/>
  <c r="I287" i="6"/>
  <c r="I286" i="6"/>
  <c r="I285" i="6"/>
  <c r="I284" i="6"/>
  <c r="H283" i="6"/>
  <c r="G283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H260" i="6"/>
  <c r="G260" i="6"/>
  <c r="I258" i="6"/>
  <c r="I257" i="6"/>
  <c r="I256" i="6"/>
  <c r="H251" i="6"/>
  <c r="G251" i="6"/>
  <c r="I245" i="6"/>
  <c r="I244" i="6"/>
  <c r="H242" i="6"/>
  <c r="G242" i="6"/>
  <c r="I241" i="6"/>
  <c r="I240" i="6"/>
  <c r="I239" i="6"/>
  <c r="I238" i="6"/>
  <c r="I237" i="6"/>
  <c r="I236" i="6"/>
  <c r="H234" i="6"/>
  <c r="G234" i="6"/>
  <c r="I233" i="6"/>
  <c r="I232" i="6"/>
  <c r="I231" i="6"/>
  <c r="I230" i="6"/>
  <c r="I229" i="6"/>
  <c r="I228" i="6"/>
  <c r="I227" i="6"/>
  <c r="I226" i="6"/>
  <c r="I225" i="6"/>
  <c r="H224" i="6"/>
  <c r="G224" i="6"/>
  <c r="I223" i="6"/>
  <c r="I222" i="6"/>
  <c r="I221" i="6"/>
  <c r="I220" i="6"/>
  <c r="I219" i="6"/>
  <c r="I218" i="6"/>
  <c r="S217" i="6"/>
  <c r="R217" i="6"/>
  <c r="P217" i="6"/>
  <c r="I217" i="6"/>
  <c r="I216" i="6"/>
  <c r="I215" i="6"/>
  <c r="I214" i="6"/>
  <c r="I213" i="6"/>
  <c r="H213" i="6"/>
  <c r="G213" i="6"/>
  <c r="T204" i="6"/>
  <c r="T205" i="6" s="1"/>
  <c r="T206" i="6" s="1"/>
  <c r="T207" i="6" s="1"/>
  <c r="T208" i="6" s="1"/>
  <c r="T209" i="6" s="1"/>
  <c r="T210" i="6" s="1"/>
  <c r="T211" i="6" s="1"/>
  <c r="T212" i="6" s="1"/>
  <c r="T213" i="6" s="1"/>
  <c r="T214" i="6" s="1"/>
  <c r="T215" i="6" s="1"/>
  <c r="I202" i="6"/>
  <c r="H202" i="6"/>
  <c r="G202" i="6"/>
  <c r="H195" i="6"/>
  <c r="G195" i="6"/>
  <c r="I194" i="6"/>
  <c r="I193" i="6"/>
  <c r="I192" i="6"/>
  <c r="I191" i="6"/>
  <c r="H186" i="6"/>
  <c r="G186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H169" i="6"/>
  <c r="G169" i="6"/>
  <c r="I168" i="6"/>
  <c r="I167" i="6"/>
  <c r="I166" i="6"/>
  <c r="I165" i="6"/>
  <c r="I164" i="6"/>
  <c r="I163" i="6"/>
  <c r="I162" i="6"/>
  <c r="H161" i="6"/>
  <c r="G161" i="6"/>
  <c r="I160" i="6"/>
  <c r="I158" i="6"/>
  <c r="I157" i="6"/>
  <c r="I156" i="6"/>
  <c r="I155" i="6"/>
  <c r="I154" i="6"/>
  <c r="I153" i="6"/>
  <c r="I152" i="6"/>
  <c r="I151" i="6"/>
  <c r="I150" i="6"/>
  <c r="I149" i="6"/>
  <c r="H148" i="6"/>
  <c r="G148" i="6"/>
  <c r="I147" i="6"/>
  <c r="I146" i="6"/>
  <c r="I145" i="6"/>
  <c r="I144" i="6"/>
  <c r="I143" i="6"/>
  <c r="I142" i="6"/>
  <c r="I141" i="6"/>
  <c r="I139" i="6"/>
  <c r="I138" i="6"/>
  <c r="I137" i="6"/>
  <c r="I136" i="6"/>
  <c r="I135" i="6"/>
  <c r="I134" i="6"/>
  <c r="I133" i="6"/>
  <c r="I132" i="6"/>
  <c r="I131" i="6"/>
  <c r="I130" i="6"/>
  <c r="H129" i="6"/>
  <c r="G129" i="6"/>
  <c r="I124" i="6"/>
  <c r="I129" i="6" s="1"/>
  <c r="H112" i="6"/>
  <c r="G112" i="6"/>
  <c r="I107" i="6"/>
  <c r="I112" i="6" s="1"/>
  <c r="I100" i="6"/>
  <c r="H100" i="6"/>
  <c r="G100" i="6"/>
  <c r="H94" i="6"/>
  <c r="G94" i="6"/>
  <c r="I93" i="6"/>
  <c r="I92" i="6"/>
  <c r="I91" i="6"/>
  <c r="I90" i="6"/>
  <c r="I89" i="6"/>
  <c r="I88" i="6"/>
  <c r="I87" i="6"/>
  <c r="I86" i="6"/>
  <c r="I85" i="6"/>
  <c r="I84" i="6"/>
  <c r="I83" i="6"/>
  <c r="I82" i="6"/>
  <c r="I80" i="6"/>
  <c r="H79" i="6"/>
  <c r="G79" i="6"/>
  <c r="I78" i="6"/>
  <c r="I77" i="6"/>
  <c r="I76" i="6"/>
  <c r="I75" i="6"/>
  <c r="I74" i="6"/>
  <c r="I73" i="6"/>
  <c r="I72" i="6"/>
  <c r="I71" i="6"/>
  <c r="I70" i="6"/>
  <c r="I69" i="6"/>
  <c r="I68" i="6"/>
  <c r="I67" i="6"/>
  <c r="H65" i="6"/>
  <c r="G65" i="6"/>
  <c r="I64" i="6"/>
  <c r="I63" i="6"/>
  <c r="I62" i="6"/>
  <c r="I61" i="6"/>
  <c r="I60" i="6"/>
  <c r="I59" i="6"/>
  <c r="I58" i="6"/>
  <c r="I57" i="6"/>
  <c r="I56" i="6"/>
  <c r="I55" i="6"/>
  <c r="I54" i="6"/>
  <c r="S51" i="6"/>
  <c r="R51" i="6"/>
  <c r="P51" i="6"/>
  <c r="H48" i="6"/>
  <c r="G48" i="6"/>
  <c r="I47" i="6"/>
  <c r="I46" i="6"/>
  <c r="I45" i="6"/>
  <c r="I44" i="6"/>
  <c r="I43" i="6"/>
  <c r="I42" i="6"/>
  <c r="I41" i="6"/>
  <c r="I40" i="6"/>
  <c r="I39" i="6"/>
  <c r="T38" i="6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I38" i="6"/>
  <c r="I37" i="6"/>
  <c r="H34" i="6"/>
  <c r="G34" i="6"/>
  <c r="I28" i="6"/>
  <c r="I27" i="6"/>
  <c r="I26" i="6"/>
  <c r="I25" i="6"/>
  <c r="I24" i="6"/>
  <c r="S23" i="6"/>
  <c r="R23" i="6"/>
  <c r="P23" i="6"/>
  <c r="I23" i="6"/>
  <c r="I22" i="6"/>
  <c r="I21" i="6"/>
  <c r="I20" i="6"/>
  <c r="I19" i="6"/>
  <c r="I18" i="6"/>
  <c r="I17" i="6"/>
  <c r="I16" i="6"/>
  <c r="I14" i="6"/>
  <c r="I13" i="6"/>
  <c r="I12" i="6"/>
  <c r="I11" i="6"/>
  <c r="I10" i="6"/>
  <c r="I9" i="6"/>
  <c r="I8" i="6"/>
  <c r="I7" i="6"/>
  <c r="R6" i="6"/>
  <c r="T6" i="6" s="1"/>
  <c r="G42" i="5"/>
  <c r="H26" i="5"/>
  <c r="G26" i="5"/>
  <c r="G516" i="4"/>
  <c r="H331" i="4"/>
  <c r="G331" i="4"/>
  <c r="I327" i="4"/>
  <c r="I326" i="4"/>
  <c r="I325" i="4"/>
  <c r="I324" i="4"/>
  <c r="I323" i="4"/>
  <c r="I322" i="4"/>
  <c r="I321" i="4"/>
  <c r="I320" i="4"/>
  <c r="H319" i="4"/>
  <c r="G319" i="4"/>
  <c r="I318" i="4"/>
  <c r="I317" i="4"/>
  <c r="I316" i="4"/>
  <c r="I315" i="4"/>
  <c r="I314" i="4"/>
  <c r="I313" i="4"/>
  <c r="I312" i="4"/>
  <c r="I311" i="4"/>
  <c r="I310" i="4"/>
  <c r="I309" i="4"/>
  <c r="H308" i="4"/>
  <c r="G308" i="4"/>
  <c r="I305" i="4"/>
  <c r="I304" i="4"/>
  <c r="I303" i="4"/>
  <c r="I302" i="4"/>
  <c r="I301" i="4"/>
  <c r="I300" i="4"/>
  <c r="I299" i="4"/>
  <c r="I298" i="4"/>
  <c r="I297" i="4"/>
  <c r="H294" i="4"/>
  <c r="G294" i="4"/>
  <c r="I292" i="4"/>
  <c r="I291" i="4"/>
  <c r="I290" i="4"/>
  <c r="I289" i="4"/>
  <c r="I288" i="4"/>
  <c r="I287" i="4"/>
  <c r="I286" i="4"/>
  <c r="I285" i="4"/>
  <c r="I284" i="4"/>
  <c r="H283" i="4"/>
  <c r="G283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H260" i="4"/>
  <c r="G260" i="4"/>
  <c r="I258" i="4"/>
  <c r="I257" i="4"/>
  <c r="I256" i="4"/>
  <c r="H251" i="4"/>
  <c r="G251" i="4"/>
  <c r="I245" i="4"/>
  <c r="I244" i="4"/>
  <c r="H242" i="4"/>
  <c r="G242" i="4"/>
  <c r="I241" i="4"/>
  <c r="I240" i="4"/>
  <c r="I239" i="4"/>
  <c r="I238" i="4"/>
  <c r="I237" i="4"/>
  <c r="I236" i="4"/>
  <c r="H234" i="4"/>
  <c r="G234" i="4"/>
  <c r="I233" i="4"/>
  <c r="I232" i="4"/>
  <c r="I231" i="4"/>
  <c r="I230" i="4"/>
  <c r="I229" i="4"/>
  <c r="I228" i="4"/>
  <c r="I227" i="4"/>
  <c r="I226" i="4"/>
  <c r="I225" i="4"/>
  <c r="H224" i="4"/>
  <c r="G224" i="4"/>
  <c r="I223" i="4"/>
  <c r="I222" i="4"/>
  <c r="I221" i="4"/>
  <c r="I220" i="4"/>
  <c r="I219" i="4"/>
  <c r="I218" i="4"/>
  <c r="R217" i="4"/>
  <c r="Q217" i="4"/>
  <c r="I217" i="4"/>
  <c r="I216" i="4"/>
  <c r="I215" i="4"/>
  <c r="I214" i="4"/>
  <c r="I213" i="4"/>
  <c r="H213" i="4"/>
  <c r="G213" i="4"/>
  <c r="S204" i="4"/>
  <c r="S205" i="4" s="1"/>
  <c r="S206" i="4" s="1"/>
  <c r="S207" i="4" s="1"/>
  <c r="S208" i="4" s="1"/>
  <c r="S209" i="4" s="1"/>
  <c r="S210" i="4" s="1"/>
  <c r="S211" i="4" s="1"/>
  <c r="S212" i="4" s="1"/>
  <c r="S213" i="4" s="1"/>
  <c r="S214" i="4" s="1"/>
  <c r="S215" i="4" s="1"/>
  <c r="I202" i="4"/>
  <c r="H202" i="4"/>
  <c r="G202" i="4"/>
  <c r="H195" i="4"/>
  <c r="G195" i="4"/>
  <c r="I194" i="4"/>
  <c r="I193" i="4"/>
  <c r="I192" i="4"/>
  <c r="I191" i="4"/>
  <c r="H186" i="4"/>
  <c r="G186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H169" i="4"/>
  <c r="G169" i="4"/>
  <c r="I168" i="4"/>
  <c r="I167" i="4"/>
  <c r="I166" i="4"/>
  <c r="I165" i="4"/>
  <c r="I164" i="4"/>
  <c r="I163" i="4"/>
  <c r="I162" i="4"/>
  <c r="H161" i="4"/>
  <c r="G161" i="4"/>
  <c r="I160" i="4"/>
  <c r="I158" i="4"/>
  <c r="I157" i="4"/>
  <c r="I156" i="4"/>
  <c r="I155" i="4"/>
  <c r="I154" i="4"/>
  <c r="I153" i="4"/>
  <c r="I152" i="4"/>
  <c r="I151" i="4"/>
  <c r="I150" i="4"/>
  <c r="I149" i="4"/>
  <c r="H148" i="4"/>
  <c r="G148" i="4"/>
  <c r="I147" i="4"/>
  <c r="I146" i="4"/>
  <c r="I145" i="4"/>
  <c r="I144" i="4"/>
  <c r="I143" i="4"/>
  <c r="I142" i="4"/>
  <c r="I141" i="4"/>
  <c r="I139" i="4"/>
  <c r="I138" i="4"/>
  <c r="I137" i="4"/>
  <c r="I136" i="4"/>
  <c r="I135" i="4"/>
  <c r="I134" i="4"/>
  <c r="I133" i="4"/>
  <c r="I132" i="4"/>
  <c r="I131" i="4"/>
  <c r="I130" i="4"/>
  <c r="H129" i="4"/>
  <c r="G129" i="4"/>
  <c r="I124" i="4"/>
  <c r="I129" i="4" s="1"/>
  <c r="H112" i="4"/>
  <c r="G112" i="4"/>
  <c r="I107" i="4"/>
  <c r="I112" i="4" s="1"/>
  <c r="I100" i="4"/>
  <c r="H100" i="4"/>
  <c r="G100" i="4"/>
  <c r="H94" i="4"/>
  <c r="G94" i="4"/>
  <c r="I93" i="4"/>
  <c r="I92" i="4"/>
  <c r="I91" i="4"/>
  <c r="I90" i="4"/>
  <c r="I89" i="4"/>
  <c r="I88" i="4"/>
  <c r="I87" i="4"/>
  <c r="I86" i="4"/>
  <c r="I85" i="4"/>
  <c r="I84" i="4"/>
  <c r="I83" i="4"/>
  <c r="I82" i="4"/>
  <c r="I80" i="4"/>
  <c r="H79" i="4"/>
  <c r="G79" i="4"/>
  <c r="I78" i="4"/>
  <c r="I77" i="4"/>
  <c r="I76" i="4"/>
  <c r="I75" i="4"/>
  <c r="I74" i="4"/>
  <c r="I73" i="4"/>
  <c r="I72" i="4"/>
  <c r="I71" i="4"/>
  <c r="I70" i="4"/>
  <c r="I69" i="4"/>
  <c r="I68" i="4"/>
  <c r="I67" i="4"/>
  <c r="H65" i="4"/>
  <c r="G65" i="4"/>
  <c r="I64" i="4"/>
  <c r="I63" i="4"/>
  <c r="I62" i="4"/>
  <c r="I61" i="4"/>
  <c r="I60" i="4"/>
  <c r="I59" i="4"/>
  <c r="I58" i="4"/>
  <c r="I57" i="4"/>
  <c r="I56" i="4"/>
  <c r="I55" i="4"/>
  <c r="I54" i="4"/>
  <c r="R51" i="4"/>
  <c r="Q51" i="4"/>
  <c r="H48" i="4"/>
  <c r="G48" i="4"/>
  <c r="I47" i="4"/>
  <c r="I46" i="4"/>
  <c r="I45" i="4"/>
  <c r="I44" i="4"/>
  <c r="I43" i="4"/>
  <c r="I42" i="4"/>
  <c r="I41" i="4"/>
  <c r="I40" i="4"/>
  <c r="I39" i="4"/>
  <c r="S38" i="4"/>
  <c r="S39" i="4" s="1"/>
  <c r="S40" i="4" s="1"/>
  <c r="S41" i="4" s="1"/>
  <c r="S42" i="4" s="1"/>
  <c r="S43" i="4" s="1"/>
  <c r="S44" i="4" s="1"/>
  <c r="S45" i="4" s="1"/>
  <c r="S46" i="4" s="1"/>
  <c r="S47" i="4" s="1"/>
  <c r="S48" i="4" s="1"/>
  <c r="S49" i="4" s="1"/>
  <c r="I38" i="4"/>
  <c r="I37" i="4"/>
  <c r="H34" i="4"/>
  <c r="G34" i="4"/>
  <c r="I28" i="4"/>
  <c r="I27" i="4"/>
  <c r="I26" i="4"/>
  <c r="I25" i="4"/>
  <c r="I24" i="4"/>
  <c r="R23" i="4"/>
  <c r="Q23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Q6" i="4"/>
  <c r="S6" i="4" s="1"/>
  <c r="G296" i="2"/>
  <c r="I224" i="6" l="1"/>
  <c r="I260" i="4"/>
  <c r="I319" i="4"/>
  <c r="I251" i="4"/>
  <c r="I283" i="4"/>
  <c r="I331" i="4"/>
  <c r="I224" i="4"/>
  <c r="I253" i="2"/>
  <c r="I195" i="6"/>
  <c r="I251" i="6"/>
  <c r="I260" i="6"/>
  <c r="I361" i="6"/>
  <c r="I94" i="6"/>
  <c r="I65" i="6"/>
  <c r="I148" i="6"/>
  <c r="I34" i="6"/>
  <c r="I186" i="6"/>
  <c r="I242" i="6"/>
  <c r="I319" i="6"/>
  <c r="I48" i="6"/>
  <c r="I161" i="6"/>
  <c r="I283" i="6"/>
  <c r="I331" i="6"/>
  <c r="I294" i="6"/>
  <c r="I308" i="6"/>
  <c r="I79" i="6"/>
  <c r="I169" i="6"/>
  <c r="I234" i="6"/>
  <c r="I26" i="5"/>
  <c r="I94" i="4"/>
  <c r="I169" i="4"/>
  <c r="I234" i="4"/>
  <c r="I48" i="4"/>
  <c r="I79" i="4"/>
  <c r="I148" i="4"/>
  <c r="I195" i="4"/>
  <c r="I308" i="4"/>
  <c r="I65" i="4"/>
  <c r="I186" i="4"/>
  <c r="I242" i="4"/>
  <c r="I294" i="4"/>
  <c r="I34" i="4"/>
  <c r="I161" i="4"/>
  <c r="H238" i="2"/>
  <c r="H229" i="2"/>
  <c r="H296" i="2" l="1"/>
  <c r="I238" i="2"/>
  <c r="I229" i="2"/>
  <c r="I296" i="2" l="1"/>
  <c r="I500" i="1"/>
  <c r="I336" i="4" l="1"/>
  <c r="G222" i="2" l="1"/>
  <c r="I222" i="2" s="1"/>
  <c r="G331" i="1" l="1"/>
  <c r="H331" i="1"/>
  <c r="I327" i="1" l="1"/>
  <c r="I320" i="1"/>
  <c r="I326" i="1"/>
  <c r="I325" i="1"/>
  <c r="I323" i="1"/>
  <c r="I324" i="1"/>
  <c r="I322" i="1"/>
  <c r="I321" i="1"/>
  <c r="I331" i="1" l="1"/>
  <c r="G211" i="2"/>
  <c r="I211" i="2" s="1"/>
  <c r="G319" i="1" l="1"/>
  <c r="H319" i="1"/>
  <c r="I309" i="1"/>
  <c r="I310" i="1"/>
  <c r="I311" i="1"/>
  <c r="I312" i="1"/>
  <c r="I313" i="1"/>
  <c r="I314" i="1"/>
  <c r="I315" i="1"/>
  <c r="I316" i="1"/>
  <c r="I317" i="1"/>
  <c r="I318" i="1"/>
  <c r="I319" i="1" l="1"/>
  <c r="G207" i="2"/>
  <c r="H207" i="2"/>
  <c r="G308" i="1"/>
  <c r="H308" i="1"/>
  <c r="I305" i="1"/>
  <c r="I304" i="1"/>
  <c r="I303" i="1"/>
  <c r="I302" i="1"/>
  <c r="I298" i="1"/>
  <c r="I299" i="1"/>
  <c r="I300" i="1"/>
  <c r="I301" i="1"/>
  <c r="I297" i="1"/>
  <c r="I207" i="2" l="1"/>
  <c r="I308" i="1"/>
  <c r="G294" i="1"/>
  <c r="H294" i="1"/>
  <c r="G196" i="2" l="1"/>
  <c r="H196" i="2"/>
  <c r="G188" i="2"/>
  <c r="H188" i="2"/>
  <c r="I292" i="1" l="1"/>
  <c r="I291" i="1"/>
  <c r="I290" i="1"/>
  <c r="I289" i="1"/>
  <c r="I284" i="1" l="1"/>
  <c r="I285" i="1"/>
  <c r="I286" i="1"/>
  <c r="I287" i="1"/>
  <c r="I288" i="1"/>
  <c r="G283" i="1"/>
  <c r="H283" i="1"/>
  <c r="I294" i="1" l="1"/>
  <c r="I280" i="1"/>
  <c r="I279" i="1"/>
  <c r="I278" i="1"/>
  <c r="I277" i="1"/>
  <c r="I276" i="1"/>
  <c r="I275" i="1"/>
  <c r="I274" i="1"/>
  <c r="I273" i="1"/>
  <c r="I272" i="1"/>
  <c r="I271" i="1"/>
  <c r="I261" i="1" l="1"/>
  <c r="I262" i="1"/>
  <c r="I263" i="1"/>
  <c r="I264" i="1"/>
  <c r="I265" i="1"/>
  <c r="I266" i="1"/>
  <c r="I267" i="1"/>
  <c r="I268" i="1"/>
  <c r="I269" i="1"/>
  <c r="I270" i="1"/>
  <c r="G260" i="1"/>
  <c r="H260" i="1"/>
  <c r="I283" i="1" l="1"/>
  <c r="G176" i="2"/>
  <c r="H176" i="2"/>
  <c r="G251" i="1"/>
  <c r="H251" i="1"/>
  <c r="I256" i="1" l="1"/>
  <c r="I257" i="1"/>
  <c r="I258" i="1"/>
  <c r="I260" i="1" l="1"/>
  <c r="G168" i="2"/>
  <c r="H168" i="2"/>
  <c r="I168" i="2" l="1"/>
  <c r="I245" i="1"/>
  <c r="I244" i="1"/>
  <c r="G242" i="1"/>
  <c r="H242" i="1"/>
  <c r="I241" i="1"/>
  <c r="I251" i="1" l="1"/>
  <c r="G162" i="2"/>
  <c r="H162" i="2"/>
  <c r="I162" i="2" l="1"/>
  <c r="I240" i="1"/>
  <c r="I239" i="1" l="1"/>
  <c r="I238" i="1"/>
  <c r="I237" i="1"/>
  <c r="I236" i="1"/>
  <c r="G234" i="1"/>
  <c r="H234" i="1"/>
  <c r="I233" i="1"/>
  <c r="I234" i="1" l="1"/>
  <c r="I242" i="1"/>
  <c r="I232" i="1"/>
  <c r="I231" i="1"/>
  <c r="I230" i="1"/>
  <c r="I229" i="1"/>
  <c r="I228" i="1"/>
  <c r="I227" i="1"/>
  <c r="G153" i="2" l="1"/>
  <c r="H153" i="2"/>
  <c r="G224" i="1"/>
  <c r="H224" i="1"/>
  <c r="I153" i="2" l="1"/>
  <c r="I224" i="1"/>
  <c r="I219" i="1"/>
  <c r="I215" i="1"/>
  <c r="I216" i="1"/>
  <c r="I217" i="1"/>
  <c r="I218" i="1"/>
  <c r="I220" i="1"/>
  <c r="I221" i="1"/>
  <c r="I222" i="1"/>
  <c r="I223" i="1"/>
  <c r="I225" i="1"/>
  <c r="I226" i="1"/>
  <c r="I214" i="1"/>
  <c r="G143" i="2" l="1"/>
  <c r="H143" i="2"/>
  <c r="G213" i="1"/>
  <c r="H213" i="1"/>
  <c r="I213" i="1"/>
  <c r="I143" i="2" l="1"/>
  <c r="G130" i="2"/>
  <c r="I130" i="2" s="1"/>
  <c r="S217" i="1"/>
  <c r="R217" i="1"/>
  <c r="P217" i="1"/>
  <c r="T204" i="1"/>
  <c r="T205" i="1" s="1"/>
  <c r="T206" i="1" s="1"/>
  <c r="T207" i="1" s="1"/>
  <c r="G202" i="1"/>
  <c r="H202" i="1"/>
  <c r="I202" i="1"/>
  <c r="T208" i="1" l="1"/>
  <c r="T209" i="1" s="1"/>
  <c r="T210" i="1" s="1"/>
  <c r="P51" i="1"/>
  <c r="R51" i="1"/>
  <c r="S51" i="1"/>
  <c r="T211" i="1" l="1"/>
  <c r="T212" i="1" s="1"/>
  <c r="T213" i="1" s="1"/>
  <c r="T214" i="1" s="1"/>
  <c r="T215" i="1" s="1"/>
  <c r="G115" i="2"/>
  <c r="G195" i="1"/>
  <c r="H195" i="1"/>
  <c r="I191" i="1"/>
  <c r="I192" i="1"/>
  <c r="I193" i="1"/>
  <c r="I194" i="1"/>
  <c r="I195" i="1" l="1"/>
  <c r="G186" i="1"/>
  <c r="H186" i="1"/>
  <c r="G106" i="2" l="1"/>
  <c r="I106" i="2" s="1"/>
  <c r="I182" i="1" l="1"/>
  <c r="I181" i="1"/>
  <c r="I180" i="1"/>
  <c r="I170" i="1" l="1"/>
  <c r="I171" i="1"/>
  <c r="I172" i="1"/>
  <c r="I173" i="1"/>
  <c r="I174" i="1"/>
  <c r="I175" i="1"/>
  <c r="I176" i="1"/>
  <c r="I177" i="1"/>
  <c r="I178" i="1"/>
  <c r="I179" i="1"/>
  <c r="I186" i="1" l="1"/>
  <c r="G97" i="2"/>
  <c r="H97" i="2"/>
  <c r="I97" i="2" l="1"/>
  <c r="G169" i="1"/>
  <c r="H169" i="1"/>
  <c r="I168" i="1"/>
  <c r="I167" i="1"/>
  <c r="I166" i="1"/>
  <c r="I165" i="1"/>
  <c r="I164" i="1"/>
  <c r="I169" i="1" l="1"/>
  <c r="G91" i="2"/>
  <c r="H91" i="2"/>
  <c r="I91" i="2" l="1"/>
  <c r="G161" i="1"/>
  <c r="H161" i="1"/>
  <c r="G148" i="1"/>
  <c r="H148" i="1"/>
  <c r="G83" i="2"/>
  <c r="I155" i="1"/>
  <c r="I154" i="1"/>
  <c r="I137" i="1"/>
  <c r="I136" i="1"/>
  <c r="I131" i="1"/>
  <c r="I132" i="1"/>
  <c r="I133" i="1"/>
  <c r="I134" i="1"/>
  <c r="I135" i="1"/>
  <c r="I138" i="1"/>
  <c r="I139" i="1"/>
  <c r="I141" i="1"/>
  <c r="I142" i="1"/>
  <c r="I143" i="1"/>
  <c r="I144" i="1"/>
  <c r="I145" i="1"/>
  <c r="I146" i="1"/>
  <c r="I149" i="1"/>
  <c r="I147" i="1"/>
  <c r="I150" i="1"/>
  <c r="I151" i="1"/>
  <c r="I152" i="1"/>
  <c r="I153" i="1"/>
  <c r="I156" i="1"/>
  <c r="I157" i="1"/>
  <c r="I158" i="1"/>
  <c r="I160" i="1"/>
  <c r="I162" i="1"/>
  <c r="I163" i="1"/>
  <c r="I130" i="1"/>
  <c r="I148" i="1" l="1"/>
  <c r="I161" i="1"/>
  <c r="G73" i="2"/>
  <c r="H73" i="2"/>
  <c r="G129" i="1"/>
  <c r="H129" i="1"/>
  <c r="I73" i="2" l="1"/>
  <c r="I124" i="1"/>
  <c r="I129" i="1" s="1"/>
  <c r="G58" i="2" l="1"/>
  <c r="I58" i="2" s="1"/>
  <c r="G55" i="2"/>
  <c r="I55" i="2" s="1"/>
  <c r="G112" i="1"/>
  <c r="H112" i="1"/>
  <c r="G100" i="1"/>
  <c r="H100" i="1"/>
  <c r="I100" i="1"/>
  <c r="I107" i="1"/>
  <c r="I112" i="1" s="1"/>
  <c r="G46" i="2" l="1"/>
  <c r="H46" i="2"/>
  <c r="G94" i="1"/>
  <c r="H94" i="1"/>
  <c r="I93" i="1"/>
  <c r="I46" i="2" l="1"/>
  <c r="I82" i="1"/>
  <c r="I83" i="1"/>
  <c r="I84" i="1"/>
  <c r="I85" i="1"/>
  <c r="I86" i="1"/>
  <c r="I87" i="1"/>
  <c r="I88" i="1"/>
  <c r="I89" i="1"/>
  <c r="I90" i="1"/>
  <c r="I91" i="1"/>
  <c r="I92" i="1"/>
  <c r="I80" i="1"/>
  <c r="I94" i="1" l="1"/>
  <c r="G35" i="2"/>
  <c r="I35" i="2" s="1"/>
  <c r="H79" i="1" l="1"/>
  <c r="I78" i="1"/>
  <c r="G79" i="1"/>
  <c r="I77" i="1"/>
  <c r="I76" i="1"/>
  <c r="I68" i="1"/>
  <c r="I69" i="1"/>
  <c r="I70" i="1"/>
  <c r="I71" i="1"/>
  <c r="I72" i="1"/>
  <c r="I73" i="1"/>
  <c r="I74" i="1"/>
  <c r="I75" i="1"/>
  <c r="I67" i="1"/>
  <c r="I79" i="1" l="1"/>
  <c r="H65" i="1"/>
  <c r="I64" i="1"/>
  <c r="G65" i="1"/>
  <c r="G21" i="2"/>
  <c r="H21" i="2"/>
  <c r="I63" i="1"/>
  <c r="I62" i="1"/>
  <c r="I55" i="1"/>
  <c r="I56" i="1"/>
  <c r="I57" i="1"/>
  <c r="I58" i="1"/>
  <c r="I59" i="1"/>
  <c r="I60" i="1"/>
  <c r="I61" i="1"/>
  <c r="I54" i="1"/>
  <c r="I21" i="2" l="1"/>
  <c r="I65" i="1"/>
  <c r="H48" i="1"/>
  <c r="I47" i="1"/>
  <c r="G48" i="1"/>
  <c r="I46" i="1"/>
  <c r="I45" i="1"/>
  <c r="I44" i="1"/>
  <c r="T38" i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G11" i="2"/>
  <c r="H11" i="2"/>
  <c r="I38" i="1"/>
  <c r="I39" i="1"/>
  <c r="I40" i="1"/>
  <c r="I41" i="1"/>
  <c r="I42" i="1"/>
  <c r="I43" i="1"/>
  <c r="I37" i="1"/>
  <c r="I11" i="2" l="1"/>
  <c r="I48" i="1"/>
  <c r="P23" i="1"/>
  <c r="R23" i="1" l="1"/>
  <c r="S23" i="1"/>
  <c r="G34" i="1" l="1"/>
  <c r="H34" i="1"/>
  <c r="I8" i="1" l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7" i="1"/>
  <c r="I34" i="1" l="1"/>
  <c r="R6" i="1" l="1"/>
  <c r="T6" i="1" s="1"/>
  <c r="G345" i="4"/>
  <c r="I345" i="4"/>
  <c r="H345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<sst xmlns="http://schemas.openxmlformats.org/spreadsheetml/2006/main" count="2140" uniqueCount="618">
  <si>
    <t>Date</t>
  </si>
  <si>
    <t>Number</t>
  </si>
  <si>
    <t>Subject</t>
  </si>
  <si>
    <t>Chq No.</t>
  </si>
  <si>
    <t>recon</t>
  </si>
  <si>
    <t>April</t>
  </si>
  <si>
    <t>Llanrwst Chamber of Trade</t>
  </si>
  <si>
    <t>may</t>
  </si>
  <si>
    <t>june</t>
  </si>
  <si>
    <t>july</t>
  </si>
  <si>
    <t>august</t>
  </si>
  <si>
    <t>september</t>
  </si>
  <si>
    <t>spend</t>
  </si>
  <si>
    <t>receipt</t>
  </si>
  <si>
    <t>transfer</t>
  </si>
  <si>
    <t>october</t>
  </si>
  <si>
    <t>november</t>
  </si>
  <si>
    <t>dec</t>
  </si>
  <si>
    <t>jan</t>
  </si>
  <si>
    <t>feb</t>
  </si>
  <si>
    <t>march</t>
  </si>
  <si>
    <t>Eisteddford Dyf Conwy</t>
  </si>
  <si>
    <t>Net Vat</t>
  </si>
  <si>
    <t>Vat</t>
  </si>
  <si>
    <t>Total</t>
  </si>
  <si>
    <t>Postage</t>
  </si>
  <si>
    <t>DD</t>
  </si>
  <si>
    <t>MK Enterprises</t>
  </si>
  <si>
    <t>PJR Electrical</t>
  </si>
  <si>
    <t>Software pdf converter</t>
  </si>
  <si>
    <t>SADS UK DEFIB</t>
  </si>
  <si>
    <t>Cambrian</t>
  </si>
  <si>
    <t>OVW</t>
  </si>
  <si>
    <t>clerks salary and expenses March</t>
  </si>
  <si>
    <t>Assorted Stationary</t>
  </si>
  <si>
    <t>Cafe Bella</t>
  </si>
  <si>
    <t>Jones Bros</t>
  </si>
  <si>
    <t>Cawley Bro</t>
  </si>
  <si>
    <t>Stationary</t>
  </si>
  <si>
    <t>Jason Taylor</t>
  </si>
  <si>
    <t>UK Host 4U</t>
  </si>
  <si>
    <t>M Parry Plastering</t>
  </si>
  <si>
    <t>Macmillan Cancer Donation</t>
  </si>
  <si>
    <t>Chains and Locks Wynstay</t>
  </si>
  <si>
    <t>Welsh Ambulance</t>
  </si>
  <si>
    <t>CHARGE</t>
  </si>
  <si>
    <t>reversal</t>
  </si>
  <si>
    <t>Eisteddfordd URDD</t>
  </si>
  <si>
    <t>recvd</t>
  </si>
  <si>
    <t>close</t>
  </si>
  <si>
    <t>CCBC Cemetery Extension</t>
  </si>
  <si>
    <t>Receipts</t>
  </si>
  <si>
    <t>Transfers</t>
  </si>
  <si>
    <t>0pen Balance</t>
  </si>
  <si>
    <t>Closing Balance</t>
  </si>
  <si>
    <t>unpre chqs</t>
  </si>
  <si>
    <t>CASH BOOK / BANK REC 2016 / 17</t>
  </si>
  <si>
    <t>CHG</t>
  </si>
  <si>
    <t>Clerks salary/ home expense</t>
  </si>
  <si>
    <t>Clerks Travel expenses</t>
  </si>
  <si>
    <t>ccbc skip hire</t>
  </si>
  <si>
    <t>Hall Skip Hire</t>
  </si>
  <si>
    <t>PC World print cartridges</t>
  </si>
  <si>
    <t xml:space="preserve">Magic Mops Cleaning </t>
  </si>
  <si>
    <t>INV</t>
  </si>
  <si>
    <t>TRANS</t>
  </si>
  <si>
    <t>TOTAL</t>
  </si>
  <si>
    <t>HSBC</t>
  </si>
  <si>
    <t>OPEN</t>
  </si>
  <si>
    <t>vhall weedkiller</t>
  </si>
  <si>
    <t>Donation TO</t>
  </si>
  <si>
    <t xml:space="preserve">J Taylor </t>
  </si>
  <si>
    <t>A Bradshaw Clerk salary</t>
  </si>
  <si>
    <t>A Bradshaw Travel Exp</t>
  </si>
  <si>
    <t>i Edwards Accounts</t>
  </si>
  <si>
    <t>OVW clerk training</t>
  </si>
  <si>
    <t>OVW CHAIR TRAINING</t>
  </si>
  <si>
    <t>Mary Bellas Cafe</t>
  </si>
  <si>
    <t>Magic Mops</t>
  </si>
  <si>
    <t>D Cousins Decorater</t>
  </si>
  <si>
    <t>Croptech</t>
  </si>
  <si>
    <t>Cawley Bros</t>
  </si>
  <si>
    <t xml:space="preserve">SSE </t>
  </si>
  <si>
    <t>Cambrian Field wk</t>
  </si>
  <si>
    <t>CVSC membership</t>
  </si>
  <si>
    <t>Defib Electrician</t>
  </si>
  <si>
    <t>CCBC Skip Hire</t>
  </si>
  <si>
    <t>Firemaster Vhall exting</t>
  </si>
  <si>
    <t>A bradshaw Clerk Salary</t>
  </si>
  <si>
    <t>J Taylor Cem Cut</t>
  </si>
  <si>
    <t>J Taylor Ftpaths</t>
  </si>
  <si>
    <t>Poundstretcher Cleaning mat</t>
  </si>
  <si>
    <t>Community Coffee Morning</t>
  </si>
  <si>
    <t>Booker Cash and Carry</t>
  </si>
  <si>
    <t>Office Monster</t>
  </si>
  <si>
    <t>CCBC Skips</t>
  </si>
  <si>
    <t>Electrician</t>
  </si>
  <si>
    <t>BT</t>
  </si>
  <si>
    <t>Dwr Cymru</t>
  </si>
  <si>
    <t>SADS UK</t>
  </si>
  <si>
    <t xml:space="preserve">Timpson </t>
  </si>
  <si>
    <t>SLCC Membership</t>
  </si>
  <si>
    <t>Royal Mail Postage</t>
  </si>
  <si>
    <t>A bradshaw Clerk Home Exp</t>
  </si>
  <si>
    <t>Royal Mail Postage recorded</t>
  </si>
  <si>
    <t>SSE</t>
  </si>
  <si>
    <t>Mary Bella Cafe</t>
  </si>
  <si>
    <t>Abradshaw Clerk Salary</t>
  </si>
  <si>
    <t>Abradshaw Clerk Home exp</t>
  </si>
  <si>
    <t>PC World</t>
  </si>
  <si>
    <t xml:space="preserve">SLCC  </t>
  </si>
  <si>
    <t>Dolgarrog Railway Soc Ltd</t>
  </si>
  <si>
    <t>Humphreys Sign Print</t>
  </si>
  <si>
    <t>Abradshaw Clerk Travel exp</t>
  </si>
  <si>
    <t>PSR for Music</t>
  </si>
  <si>
    <t>CCBC</t>
  </si>
  <si>
    <t>Cyfieithu Cymunedol</t>
  </si>
  <si>
    <t>North Wales Deaf Assoc</t>
  </si>
  <si>
    <t>Xmas Direct (Xmas Lights)</t>
  </si>
  <si>
    <t>Morrisons (Toilet brushes)</t>
  </si>
  <si>
    <t>B&amp;Q (draft Excluder VHall)</t>
  </si>
  <si>
    <t>Nokia  Phone (flood warden)</t>
  </si>
  <si>
    <t>Giffgaff Phone top up (flood warden)</t>
  </si>
  <si>
    <t>SLCC Training</t>
  </si>
  <si>
    <t>British Legion</t>
  </si>
  <si>
    <t>RW Williams</t>
  </si>
  <si>
    <t>Abradshaw Clekk Travel Exp</t>
  </si>
  <si>
    <t>Currys</t>
  </si>
  <si>
    <t>Royal Mail</t>
  </si>
  <si>
    <t>A bradshaw Clerk sal uplift</t>
  </si>
  <si>
    <t>ICO</t>
  </si>
  <si>
    <t>Trefriw Gardening Club</t>
  </si>
  <si>
    <t>Urdd Gobiath</t>
  </si>
  <si>
    <t>Humphreys Signs</t>
  </si>
  <si>
    <t>OVW Training</t>
  </si>
  <si>
    <t xml:space="preserve">Various suppliers Pd Abradshaw </t>
  </si>
  <si>
    <t>JW Jones</t>
  </si>
  <si>
    <t>Goltim Maintenance</t>
  </si>
  <si>
    <t>Safety Shop</t>
  </si>
  <si>
    <t>PSDF</t>
  </si>
  <si>
    <t>202 Zurich Insurance</t>
  </si>
  <si>
    <t>A bradshaw Clek Home exp</t>
  </si>
  <si>
    <t>A bradshaw Employee NI Cont</t>
  </si>
  <si>
    <t>CCBC skip hire</t>
  </si>
  <si>
    <t>Alexander Locksmiths</t>
  </si>
  <si>
    <t>CK Allen</t>
  </si>
  <si>
    <t>Able Group</t>
  </si>
  <si>
    <t>Wales Audit Office</t>
  </si>
  <si>
    <t>One Voice Wales</t>
  </si>
  <si>
    <t>Staples</t>
  </si>
  <si>
    <t>Bank Charges</t>
  </si>
  <si>
    <t>Abradshaw clerk salary</t>
  </si>
  <si>
    <t>abradshaw clerk home exp</t>
  </si>
  <si>
    <t>SLCC</t>
  </si>
  <si>
    <t>CCBC Skip hire</t>
  </si>
  <si>
    <t>CCBC Mortgage Cemetery Payment</t>
  </si>
  <si>
    <t>S/O</t>
  </si>
  <si>
    <t>195 /</t>
  </si>
  <si>
    <t>182/186</t>
  </si>
  <si>
    <t>Abradshaw salary</t>
  </si>
  <si>
    <t>Abradshaw Home exp</t>
  </si>
  <si>
    <t>Abradshaw Travel</t>
  </si>
  <si>
    <t>Eisteddfod Dyffryn Conwy</t>
  </si>
  <si>
    <t>B&amp;Q</t>
  </si>
  <si>
    <t>Iona Edwards</t>
  </si>
  <si>
    <t xml:space="preserve">May </t>
  </si>
  <si>
    <t>ccbc</t>
  </si>
  <si>
    <t>CCBC Skip Hire  April</t>
  </si>
  <si>
    <t>Firemaster</t>
  </si>
  <si>
    <t>Jason Taylor Cemetery Cut may</t>
  </si>
  <si>
    <t>cvsc</t>
  </si>
  <si>
    <t>OVW training</t>
  </si>
  <si>
    <t>CCBC Skip Hire  May</t>
  </si>
  <si>
    <t>Curry PC World</t>
  </si>
  <si>
    <t>July</t>
  </si>
  <si>
    <t>June</t>
  </si>
  <si>
    <t>August</t>
  </si>
  <si>
    <t>Ascerta</t>
  </si>
  <si>
    <t>JRB Enterprises</t>
  </si>
  <si>
    <t>228/237</t>
  </si>
  <si>
    <t>223/225</t>
  </si>
  <si>
    <t>BT Adopt a Kiosk</t>
  </si>
  <si>
    <t>CCBC Skip Hire June</t>
  </si>
  <si>
    <t>CCBC Skip Hire July</t>
  </si>
  <si>
    <t>Welsh Audit Office</t>
  </si>
  <si>
    <t>PRS</t>
  </si>
  <si>
    <t>Abradshaw Travel Expenses</t>
  </si>
  <si>
    <t>CCBC Room Hire</t>
  </si>
  <si>
    <t>Jason Tylor</t>
  </si>
  <si>
    <t>CL Jones</t>
  </si>
  <si>
    <t>Booker Cas Carry</t>
  </si>
  <si>
    <t>North Wales Tree Services</t>
  </si>
  <si>
    <t>Rhys Jones Electrician</t>
  </si>
  <si>
    <t>Rigby Turner</t>
  </si>
  <si>
    <t>WAW Donation</t>
  </si>
  <si>
    <t>JWJones</t>
  </si>
  <si>
    <t>Gwynedd Pensions</t>
  </si>
  <si>
    <t>Gwynedd Pensions Dec</t>
  </si>
  <si>
    <t>4p</t>
  </si>
  <si>
    <t>Zurich Municipal</t>
  </si>
  <si>
    <t>Xmas Direct</t>
  </si>
  <si>
    <t>HSBC FEES</t>
  </si>
  <si>
    <t>bounced chq</t>
  </si>
  <si>
    <t>unpaid chqs</t>
  </si>
  <si>
    <t>Wynnstay</t>
  </si>
  <si>
    <t>CCBC Elections</t>
  </si>
  <si>
    <t>Gwynedd Pension Fund</t>
  </si>
  <si>
    <t>unpaid chq</t>
  </si>
  <si>
    <t>LGIM</t>
  </si>
  <si>
    <t>BT Village Hall</t>
  </si>
  <si>
    <t>CCBC Skip Hire Nov 2017</t>
  </si>
  <si>
    <t>CCBC Skip Hire Dec 2017</t>
  </si>
  <si>
    <t>Abradshaw clerk</t>
  </si>
  <si>
    <t>Abradshaw clerk home exp</t>
  </si>
  <si>
    <t>SSE Village Hall</t>
  </si>
  <si>
    <t>CCBC Skip Hire Jan 2018</t>
  </si>
  <si>
    <t>Abradshaw clerk travel expenses</t>
  </si>
  <si>
    <t>UK HOST 4U</t>
  </si>
  <si>
    <t>CCBC Cemetery Payment</t>
  </si>
  <si>
    <t>G Lloyd Jones</t>
  </si>
  <si>
    <t>Booker Cash Carry</t>
  </si>
  <si>
    <t>March</t>
  </si>
  <si>
    <t>VAT</t>
  </si>
  <si>
    <t>Footpaths</t>
  </si>
  <si>
    <t>May</t>
  </si>
  <si>
    <t>September</t>
  </si>
  <si>
    <t>October</t>
  </si>
  <si>
    <t>January</t>
  </si>
  <si>
    <t>February</t>
  </si>
  <si>
    <t>Net</t>
  </si>
  <si>
    <t>Gross</t>
  </si>
  <si>
    <t>Cleared</t>
  </si>
  <si>
    <t>Totals</t>
  </si>
  <si>
    <t>V/Hall</t>
  </si>
  <si>
    <t>Misc</t>
  </si>
  <si>
    <t>Invoice No</t>
  </si>
  <si>
    <t>December</t>
  </si>
  <si>
    <t>November</t>
  </si>
  <si>
    <t>Budget Code</t>
  </si>
  <si>
    <t>14 - Venue Hire Fees £0)</t>
  </si>
  <si>
    <t>16 - Traffic Calming (£0)</t>
  </si>
  <si>
    <t>23 - Community Grants (£0)</t>
  </si>
  <si>
    <t>25 - Advertising (£50)</t>
  </si>
  <si>
    <t>Payee/Subject</t>
  </si>
  <si>
    <t>Minute No</t>
  </si>
  <si>
    <t>Opening Balance</t>
  </si>
  <si>
    <t>Unpresented Cheques c/f</t>
  </si>
  <si>
    <t>Cemetery</t>
  </si>
  <si>
    <t>Breakdown
of Receipts</t>
  </si>
  <si>
    <t>% against budget</t>
  </si>
  <si>
    <t>Minute</t>
  </si>
  <si>
    <t>Over 75% of budget spent</t>
  </si>
  <si>
    <t>100% of budget spent</t>
  </si>
  <si>
    <t>Budget overspend</t>
  </si>
  <si>
    <t>Under 75% of budget spent</t>
  </si>
  <si>
    <t>Payments Cleared/
Reconciled</t>
  </si>
  <si>
    <t>3 - Office Allowance (£312)</t>
  </si>
  <si>
    <t>4 - Travel Expenses (50)</t>
  </si>
  <si>
    <t>31 - Chair's Discretionary Fund (£50)</t>
  </si>
  <si>
    <t>s137</t>
  </si>
  <si>
    <t>S/Order</t>
  </si>
  <si>
    <t>34 - Banking Charges (£100)</t>
  </si>
  <si>
    <t>Payment Method</t>
  </si>
  <si>
    <t>Payment
Date</t>
  </si>
  <si>
    <t>Payment 
Date</t>
  </si>
  <si>
    <t>Overall Total</t>
  </si>
  <si>
    <t>5 - Training (£200)</t>
  </si>
  <si>
    <t>7 - Postage (£15)</t>
  </si>
  <si>
    <t>21 - Village Hall General Maintenance/Repairs (£1,000)</t>
  </si>
  <si>
    <t>Bank Transfer</t>
  </si>
  <si>
    <t>Direct Payment</t>
  </si>
  <si>
    <t>9 - Website/IT services (£80)</t>
  </si>
  <si>
    <t>26 - Donations (£500)</t>
  </si>
  <si>
    <t>Cleaner Care Ltd - V/Hall Clean for March</t>
  </si>
  <si>
    <t>Transfer of funds from HSBC account 03064298</t>
  </si>
  <si>
    <t>Debit Card</t>
  </si>
  <si>
    <t>Cleaner Care Ltd - V/Hall Clean for April</t>
  </si>
  <si>
    <t>V Teasdale - Clerk's Salary for May</t>
  </si>
  <si>
    <t>V Teasdale - Clerk's Salary for April</t>
  </si>
  <si>
    <t>V Teasdale - WFH allowance for April</t>
  </si>
  <si>
    <t>V Teasdale - WFH allowance for May</t>
  </si>
  <si>
    <t>Rob Duncalf - Cemetery Cut for April</t>
  </si>
  <si>
    <t>Clerk’s Salary for June</t>
  </si>
  <si>
    <t>Clerk’s Office Allowance for June (WFH)</t>
  </si>
  <si>
    <t>Cleaner Care Ltd - VH Clean for May</t>
  </si>
  <si>
    <t>Firemaster (Colwyn Bay) Ltd - VH Extinguisher Annual Service</t>
  </si>
  <si>
    <t>Cheque</t>
  </si>
  <si>
    <t>Direct Debit</t>
  </si>
  <si>
    <t>Account 30649236 2025/26 Overview</t>
  </si>
  <si>
    <t>Current Account 30649236
2025/26 Cashbook/Bank Reconciliation</t>
  </si>
  <si>
    <t>2025-26/001</t>
  </si>
  <si>
    <t>BT plc - V/Hall Wi-fi - connection fee and Feb/March charges</t>
  </si>
  <si>
    <t>2025-26/002</t>
  </si>
  <si>
    <t>2025-26/003</t>
  </si>
  <si>
    <t>2025-26/004</t>
  </si>
  <si>
    <t>2025-26/005</t>
  </si>
  <si>
    <t>2025-26/006</t>
  </si>
  <si>
    <t>2025-26/007</t>
  </si>
  <si>
    <t>2025-26/008</t>
  </si>
  <si>
    <t>One Voice Wales - Membership Fees for 2025/26</t>
  </si>
  <si>
    <t>Iona Edwards Cyf - Payroll Services for 2024/25</t>
  </si>
  <si>
    <t>Budget Codes (2025/26 Approved Budgeted Amounts)</t>
  </si>
  <si>
    <t xml:space="preserve">1 - Salary (£12,788.25)       </t>
  </si>
  <si>
    <t>6 - Stationery/office supplies (£350)</t>
  </si>
  <si>
    <t>8 - Translation (£440)</t>
  </si>
  <si>
    <t>10 - Subscriptions/Membership (£406)</t>
  </si>
  <si>
    <t>11 - Insurance (£1,135)</t>
  </si>
  <si>
    <t>12 - Legal Costs (£35)</t>
  </si>
  <si>
    <t>13 - Audit/Payroll Fees (£1,600)</t>
  </si>
  <si>
    <t>15 - General Village Maintenance/Repairs (£1,380)</t>
  </si>
  <si>
    <t>17 - Cemetery Maintenance (£3,050)</t>
  </si>
  <si>
    <t>19 - Footpath Maintenance (£1,250)</t>
  </si>
  <si>
    <t>20 - Village Hall Remedial/Restoration Costs (£0)</t>
  </si>
  <si>
    <t>22 - Village Hall Operational Costs (£2,500)</t>
  </si>
  <si>
    <t>24 - Skips (£0)</t>
  </si>
  <si>
    <t>27 - Councillor Allowances (£416)</t>
  </si>
  <si>
    <t>29 - Asset Transfer, Public Toilets (£12,312.50)</t>
  </si>
  <si>
    <t>32 - Village Festivities (£350)</t>
  </si>
  <si>
    <t>35 - IT/Office Machinery (£265)</t>
  </si>
  <si>
    <t>2 - Employer NIC / Pension Contributions (increased by £106.52 to £1,292.52 as per min 8.2)</t>
  </si>
  <si>
    <t>28 - Asset Transfer, Playparks (increased by £1,356.25 to £2,356.25 as per min 8.2)</t>
  </si>
  <si>
    <t>33 - Defibriliators (increased by £580 to £780 as per min 8.2)</t>
  </si>
  <si>
    <t>Quarter 2
Current Account 30649236
2025/26 Cashbook/Bank Reconciliation</t>
  </si>
  <si>
    <t>Quarter 1
Current Account 30649236
2025/26 Cashbook/Bank Reconciliation</t>
  </si>
  <si>
    <t>Quarter 3
Current Account 30649236
2025/26 Cashbook/Bank Reconciliation</t>
  </si>
  <si>
    <t>Quarter 4
Current Account 30649236
2025/26 Cashbook/Bank Reconciliation</t>
  </si>
  <si>
    <t>R202526-001</t>
  </si>
  <si>
    <t>K J Glover - V/Hall Hire, 13/04/2025</t>
  </si>
  <si>
    <t>R202526-003</t>
  </si>
  <si>
    <t>Trefriw Film Club - V/Hall Hire, 12/04/2025</t>
  </si>
  <si>
    <t>2025-26/009</t>
  </si>
  <si>
    <t>Currys Office 365 - Annual Office 365 Subscription</t>
  </si>
  <si>
    <t>2025-26/010</t>
  </si>
  <si>
    <t>2025-26/011</t>
  </si>
  <si>
    <t>2025-26/012</t>
  </si>
  <si>
    <t>2025-26/013</t>
  </si>
  <si>
    <t>2025-26/014</t>
  </si>
  <si>
    <t>Microsoft - Teams Essentials Annual Subscription</t>
  </si>
  <si>
    <t>2025-26/015</t>
  </si>
  <si>
    <t>Rob Duncalf - Cemetery Extension Cut for April</t>
  </si>
  <si>
    <t>2025-26/016</t>
  </si>
  <si>
    <t>2025-26/017</t>
  </si>
  <si>
    <t>2025-26/018</t>
  </si>
  <si>
    <t>2025-26/019</t>
  </si>
  <si>
    <t>OVO Energy Ltd - VH electricity usage, 07/04/24 to 06/05/24</t>
  </si>
  <si>
    <t>OVO Energy Ltd - VH electricity usage, 07/03/25 to 06/04/25</t>
  </si>
  <si>
    <t>BT plc - V/Hall Wi-fi, April charges</t>
  </si>
  <si>
    <t>2025-26/020</t>
  </si>
  <si>
    <t>BT plc - V/Hall Wi-fi, May charges</t>
  </si>
  <si>
    <t>2025-26/021</t>
  </si>
  <si>
    <t>2025-26/022</t>
  </si>
  <si>
    <t>2025-26/023</t>
  </si>
  <si>
    <t>2025-26/024</t>
  </si>
  <si>
    <t>2025-26/025</t>
  </si>
  <si>
    <t>2025-26/026</t>
  </si>
  <si>
    <t>2025-26/027</t>
  </si>
  <si>
    <t>2025-26/028</t>
  </si>
  <si>
    <t>2025-26/029</t>
  </si>
  <si>
    <t>2025-26/030</t>
  </si>
  <si>
    <t>2025-26/031</t>
  </si>
  <si>
    <t>2025-26/032</t>
  </si>
  <si>
    <t>2025-26/033</t>
  </si>
  <si>
    <t>2025-26/034</t>
  </si>
  <si>
    <t>Frank Smith - Preparatory tree works re footpath resurfacing</t>
  </si>
  <si>
    <t>Cyfieithu Cymunedol Cyf - Translation of Annual Report</t>
  </si>
  <si>
    <t>Cyfieithu Cymunedol Cyf - Translation of consultation document</t>
  </si>
  <si>
    <t>Rob Duncalf - Spring 2025 footpath maintenance</t>
  </si>
  <si>
    <t>Idris Bowen - 2025/26 Councillor Allowances</t>
  </si>
  <si>
    <t>Jackie Jewett - 2025/26 Councillor Allowances</t>
  </si>
  <si>
    <t>OVO Energy Ltd - VH electricity usage, 07/05/25 to 06/06/25</t>
  </si>
  <si>
    <t>2025-26/035</t>
  </si>
  <si>
    <t>C T Roberts Plant Hire Ltd - All abilities footpath resurfacing materials</t>
  </si>
  <si>
    <t>Trefriw Walkers are Welcome - V/Hall Hire, 05/04/2025 and 06/04/2025</t>
  </si>
  <si>
    <t>Trefriw Walkers are Welcome - V/Hall Hire,16/05/2025 to 18/05/2025</t>
  </si>
  <si>
    <t>R202526-005</t>
  </si>
  <si>
    <t>Dyffryn Memorials - ashes memorial stone (Plot 790)</t>
  </si>
  <si>
    <t>R202526-006</t>
  </si>
  <si>
    <t>Trefriw Film Club - V/Hall Hire, 24/05/2025 and 27/05/2025</t>
  </si>
  <si>
    <t>R202526-007</t>
  </si>
  <si>
    <t>Conwy CBC - 2025/26 Toilet Recharges, Gower Road Toilets</t>
  </si>
  <si>
    <t>2025-26/036</t>
  </si>
  <si>
    <t>Trefriw Film Club - V/Hall Hire, 12/06/2025</t>
  </si>
  <si>
    <t>2025-26/037</t>
  </si>
  <si>
    <t>2025-26/038</t>
  </si>
  <si>
    <t>2025-26/039</t>
  </si>
  <si>
    <t>Eisteddfod Gadeiriol Dyffryn Conwy - donation, agreed 17/06/25</t>
  </si>
  <si>
    <t>√</t>
  </si>
  <si>
    <t>Marie Curie - donation, agreed 17/06/2025</t>
  </si>
  <si>
    <t>BT plc - V/Hall Wi-fi, June charges</t>
  </si>
  <si>
    <t>2025-26/040</t>
  </si>
  <si>
    <t>2025-26/041</t>
  </si>
  <si>
    <t>2025-26/042</t>
  </si>
  <si>
    <t>2025-26/043</t>
  </si>
  <si>
    <t>2025-26/044</t>
  </si>
  <si>
    <t>SLCC - Clerk's Qualification Fee (PIALC - Wales)</t>
  </si>
  <si>
    <t>HMRC Cumbernaud - Employer NIC 2024/25, Q4 to 05/04/25</t>
  </si>
  <si>
    <t>HMRC Cumbernaud - Employer NIC 2025/26, Q1 to 05/07/25</t>
  </si>
  <si>
    <t>Cleaner Care Ltd - VH Clean for June</t>
  </si>
  <si>
    <t>2025-26/045</t>
  </si>
  <si>
    <t>2025-26/046</t>
  </si>
  <si>
    <t>Clerk’s Salary for July</t>
  </si>
  <si>
    <t>Clerk’s Office Allowance for July (WFH)</t>
  </si>
  <si>
    <t>HSBC - Bank Charges, monthly account fee for March</t>
  </si>
  <si>
    <t>HSBC - Bank Charges, monthly account fee for April</t>
  </si>
  <si>
    <t>HSBC - Bank Charges, monthly account fee/charges for May</t>
  </si>
  <si>
    <t>Cambrian - Recreation fields mowing for April</t>
  </si>
  <si>
    <t>Cambrian - Recreation field (pitch) mowing May</t>
  </si>
  <si>
    <t>HSBC - Bank Charges, monthly account fee for June</t>
  </si>
  <si>
    <t>2025-26/047</t>
  </si>
  <si>
    <t>2025-26/048</t>
  </si>
  <si>
    <t>2025-26/049</t>
  </si>
  <si>
    <r>
      <t>D</t>
    </r>
    <r>
      <rPr>
        <sz val="9.5"/>
        <color theme="1"/>
        <rFont val="Aptos Narrow"/>
        <family val="2"/>
      </rPr>
      <t>ŵ</t>
    </r>
    <r>
      <rPr>
        <sz val="9.5"/>
        <color theme="1"/>
        <rFont val="Arial Narrow"/>
        <family val="2"/>
      </rPr>
      <t>r Cymru - VH usage 16/12/24 to 30/06/25</t>
    </r>
  </si>
  <si>
    <t>Rob Duncalf - Cemetery strimming and path spraying for May</t>
  </si>
  <si>
    <t>Rob Duncalf - Cemetery strimming for June</t>
  </si>
  <si>
    <t>2025-26/050</t>
  </si>
  <si>
    <t>2025-26/051</t>
  </si>
  <si>
    <t>2025-26/052</t>
  </si>
  <si>
    <t>2025-26/053</t>
  </si>
  <si>
    <t>2025-26/054</t>
  </si>
  <si>
    <t>2025-26/055</t>
  </si>
  <si>
    <t>2025-26/056</t>
  </si>
  <si>
    <t>OVO Energy Ltd - VH electricity usage, 07/06/25 to 06/07/25</t>
  </si>
  <si>
    <t>Rob Duncalf - Cemetery Extension Cut for July</t>
  </si>
  <si>
    <t>Dale Wilder Plant &amp; Tool Hire - Mower hire for recreation fields</t>
  </si>
  <si>
    <t>I Bowen - Reimbursement, diesel for recreation field cutting</t>
  </si>
  <si>
    <t>V Teasdale - Reimbursement, courier fee for files to Audit Wales</t>
  </si>
  <si>
    <t>Trefriw Walkers are Welcome - V/Hall Hire,01/07/2025</t>
  </si>
  <si>
    <t>R202526-010</t>
  </si>
  <si>
    <t>R202526-002</t>
  </si>
  <si>
    <t>R202526-008</t>
  </si>
  <si>
    <t>Trefriw Film Club - V/Hall Hire, 05/07/2025</t>
  </si>
  <si>
    <t>R202526-011</t>
  </si>
  <si>
    <t>Buckley Memorials - additional memorial inscription (Plot 427)</t>
  </si>
  <si>
    <t>R202526-017</t>
  </si>
  <si>
    <t>CCBC - public footpath maintenance, partial refund</t>
  </si>
  <si>
    <t>G Lloyd Jones - grave lease purchase and first interment (Plot 243)</t>
  </si>
  <si>
    <t>R202526-012</t>
  </si>
  <si>
    <t>Rob Duncalf - Main Cemetery strimming for July</t>
  </si>
  <si>
    <t>2025-26/057</t>
  </si>
  <si>
    <t>OVO Energy Ltd - VH electricity usage, 07/07/25 to 06/08/25</t>
  </si>
  <si>
    <t>2025-26/058</t>
  </si>
  <si>
    <t>2025-26/059</t>
  </si>
  <si>
    <t>BT plc - V/Hall Wi-fi, July charges</t>
  </si>
  <si>
    <t>Clerk’s Salary for August</t>
  </si>
  <si>
    <t>Clerk’s Office Allowance for August (WFH)</t>
  </si>
  <si>
    <t>2025-26/060</t>
  </si>
  <si>
    <t>2025-26/061</t>
  </si>
  <si>
    <t>2025-26/062</t>
  </si>
  <si>
    <t>SLCC - Clerk's Membership Fee 2025/26</t>
  </si>
  <si>
    <t>2025-26/063</t>
  </si>
  <si>
    <t>BT plc - V/Hall Wi-fi, August charges</t>
  </si>
  <si>
    <t>2025-26/064</t>
  </si>
  <si>
    <t>V Teasdale - Reimbursement, printing contract, Feb to Aug 2025</t>
  </si>
  <si>
    <t>HSBC - Bank Charges, monthly account fee for July</t>
  </si>
  <si>
    <t>V Teasdale - Reimbursement, TCC mobile phone, Mar to Aug 2025</t>
  </si>
  <si>
    <t>2025-26/065</t>
  </si>
  <si>
    <t>2025-26/066</t>
  </si>
  <si>
    <t>Rob Duncalf - Main Cemetery strimming/path spraying for August</t>
  </si>
  <si>
    <t>Amazon - Replacement VH Parking Post Set</t>
  </si>
  <si>
    <t>2025-26/067</t>
  </si>
  <si>
    <t>2025-26/068</t>
  </si>
  <si>
    <t>2025-26/069</t>
  </si>
  <si>
    <t>L Williams - V/Hall Hire, 19/07/2025</t>
  </si>
  <si>
    <t>R202526-013</t>
  </si>
  <si>
    <t>S Mackenzie - V/Hall Hire, 19/07/2025</t>
  </si>
  <si>
    <t>R202526-014</t>
  </si>
  <si>
    <t>P Knight - grave lease transfer (Plot 120)</t>
  </si>
  <si>
    <t>R202526-018</t>
  </si>
  <si>
    <t>Dyffryn Memorials - additional memorial inscription (Plot 790)</t>
  </si>
  <si>
    <t>L Parry - V/Hall Hire, 16/08/2025</t>
  </si>
  <si>
    <t>R202526-021</t>
  </si>
  <si>
    <t>S Roberts - grave lease/first interment/memorial stone (Plot 598)</t>
  </si>
  <si>
    <t>R202526-020</t>
  </si>
  <si>
    <t>R202526-009</t>
  </si>
  <si>
    <t>R202526-016</t>
  </si>
  <si>
    <t>2025-26/070</t>
  </si>
  <si>
    <t>Cyfieithu Cymunedol Cyf - Translation of Summer Newsletter</t>
  </si>
  <si>
    <t>Clerk’s Salary for September</t>
  </si>
  <si>
    <t>Clerk’s Office Allowance (WFH)</t>
  </si>
  <si>
    <t>2025-26/071</t>
  </si>
  <si>
    <t>HSBC - Bank Charge, cheque clearance</t>
  </si>
  <si>
    <t>Cleaner Care Ltd - VH Cleans for August</t>
  </si>
  <si>
    <t>2025-26/072</t>
  </si>
  <si>
    <t>Hunter Garden Services - VH path clearing work</t>
  </si>
  <si>
    <t>2025-26/073</t>
  </si>
  <si>
    <t>OVO Energy Ltd - VH electricity usage, 07/08/25 to 06/09/25</t>
  </si>
  <si>
    <t>2025-26/074</t>
  </si>
  <si>
    <t>L Williams - V/Hall Hire, 30/08/2025</t>
  </si>
  <si>
    <t>R202526-023</t>
  </si>
  <si>
    <t>D Roberts - grave re-opening for ashes interment (Plot 549)</t>
  </si>
  <si>
    <t>R202526-024</t>
  </si>
  <si>
    <t>Trefriw Film Club - V/Hall Hire for August 2025</t>
  </si>
  <si>
    <t>R202526-022</t>
  </si>
  <si>
    <t>CCBC - V/Hall Hire, 28/07/2025</t>
  </si>
  <si>
    <t>R202526-015</t>
  </si>
  <si>
    <t>Geoff Roberts FD - grave lease purchase and first interment (Plot 237)</t>
  </si>
  <si>
    <t>R202526-025</t>
  </si>
  <si>
    <t>L Williams - V/Hall Hire, 20/09/2025</t>
  </si>
  <si>
    <t>R202526-027</t>
  </si>
  <si>
    <t>R202526-026</t>
  </si>
  <si>
    <t>Carneddau Landscape Project - V/Hall Hire, 20/09/2025</t>
  </si>
  <si>
    <t>BT plc - V/Hall Wi-fi, September charges</t>
  </si>
  <si>
    <t>2025-26/075</t>
  </si>
  <si>
    <t>2025-26/076</t>
  </si>
  <si>
    <t>2025-26/077</t>
  </si>
  <si>
    <t>2025-26/078</t>
  </si>
  <si>
    <t>Massey &amp; Harris - Replacement parts for swing basket</t>
  </si>
  <si>
    <t>Cleaner Care Ltd - VH Cleans for September</t>
  </si>
  <si>
    <t>HMRC Cumbernaud - Employer NIC 2025/26, Q2 to 05/10/2025</t>
  </si>
  <si>
    <t>Amazon - V/Hall sundries, Selpak Z fold paper towels (2400)</t>
  </si>
  <si>
    <t>9 - Website/IT services (£80 - increased by £50 to £130 as per min 11.1.1)</t>
  </si>
  <si>
    <t>18 - Cemetery Development (£5,698)</t>
  </si>
  <si>
    <t>2025-26/079</t>
  </si>
  <si>
    <t>2025-26/080</t>
  </si>
  <si>
    <t>2025-26/081</t>
  </si>
  <si>
    <t>OVO Energy Ltd - VH electricity usage, 07/09/25 to 06/10/25</t>
  </si>
  <si>
    <t>2025-26/082</t>
  </si>
  <si>
    <t>Rob Duncalf - Main Cemetery strimming for September</t>
  </si>
  <si>
    <t>30 - Ash Dieback/Tree Works (£2,000) £2,880 held in deposit acct pending transfer to PSDF</t>
  </si>
  <si>
    <t>Clerk’s Salary for October</t>
  </si>
  <si>
    <t>19 - Footpath Maintenance (increased to by £2,676.70 to £3,926.70 as per min 53.2)</t>
  </si>
  <si>
    <t>2025-26/083</t>
  </si>
  <si>
    <t>2025-26/084</t>
  </si>
  <si>
    <t>2025-26/085</t>
  </si>
  <si>
    <t>Tesco Mobile - Upfront cost for new phone contract/handset</t>
  </si>
  <si>
    <t>OVO Energy Ltd - VH electricity, new monthly payment plan</t>
  </si>
  <si>
    <t>C Lackenby - V/Hall Hire, 28/09/2025</t>
  </si>
  <si>
    <t>R202526-031</t>
  </si>
  <si>
    <t>Trefriw Film Club - V/Hall Hire, 25/09/2025</t>
  </si>
  <si>
    <t>R202526-029</t>
  </si>
  <si>
    <t>T Smith - V/Hall Hire, 26/09 and 27/09/25</t>
  </si>
  <si>
    <t>R202526-030</t>
  </si>
  <si>
    <t>R202526-028</t>
  </si>
  <si>
    <t>Lambert &amp; Sons - Additional memorial inscription (Plot 120)</t>
  </si>
  <si>
    <t>K Ellis - V/Hall sundries (electricity)</t>
  </si>
  <si>
    <t>R202526-033</t>
  </si>
  <si>
    <t>BT plc - V/Hall Wi-fi, October charges</t>
  </si>
  <si>
    <t>2025-26/086</t>
  </si>
  <si>
    <t>2025-26/087</t>
  </si>
  <si>
    <t>2025-26/088</t>
  </si>
  <si>
    <t>2025-26/089</t>
  </si>
  <si>
    <t>2025-26/090</t>
  </si>
  <si>
    <t>2025-26/091</t>
  </si>
  <si>
    <t>2025-26/092</t>
  </si>
  <si>
    <t>2025-26/093</t>
  </si>
  <si>
    <t>2025-26/094</t>
  </si>
  <si>
    <t>ICO - Data Protection Renewal</t>
  </si>
  <si>
    <t>RBL Poppy Appeal - Remembrance Day Community Wreath</t>
  </si>
  <si>
    <t>✓</t>
  </si>
  <si>
    <t>Cleaner Care Ltd - VH Cleans for October</t>
  </si>
  <si>
    <t>Clerk’s Salary for November</t>
  </si>
  <si>
    <t>Rob Duncalf - Autumn 2025 footpath maintenance</t>
  </si>
  <si>
    <t>Rob Duncalf - final Cemetery Extension cut for 2025</t>
  </si>
  <si>
    <t>OVO Energy Ltd - VH electricity, fixed monthly payment</t>
  </si>
  <si>
    <t>12 - Legal Costs (£35) (increased by Clerk to £47 to meet expenditure)</t>
  </si>
  <si>
    <t>Arfon Roberts - Grass cutting, recreation fields in September</t>
  </si>
  <si>
    <t>2025-26/096</t>
  </si>
  <si>
    <t>Amazon - office supplies, A4 paper, lever arch files/plastic wallets</t>
  </si>
  <si>
    <t>Iona Edwards Cyf - Audit Services for 2025/26</t>
  </si>
  <si>
    <t>2025/26-095</t>
  </si>
  <si>
    <t>Toolstation - VH replacement portable heaters</t>
  </si>
  <si>
    <t>2025-26/097</t>
  </si>
  <si>
    <t>139.1.2</t>
  </si>
  <si>
    <t>BT plc - V/Hall Wi-fi, November charges</t>
  </si>
  <si>
    <t>Tesco Mobile - TCC mobile charges, 14/11/25 to 13/12/25</t>
  </si>
  <si>
    <t>2025-26/098</t>
  </si>
  <si>
    <t>2025-26/099</t>
  </si>
  <si>
    <t>2025-26/100</t>
  </si>
  <si>
    <t>2025-26/101</t>
  </si>
  <si>
    <t>2025-26/102</t>
  </si>
  <si>
    <t>Edwards Woodland Services Ltd - Tree safety works, Gower Rd</t>
  </si>
  <si>
    <t>Soft Octopus - 50 x A2 copies of cemetery plan</t>
  </si>
  <si>
    <t>Clerk’s Salary for December</t>
  </si>
  <si>
    <t>2025-26/103</t>
  </si>
  <si>
    <t xml:space="preserve">30 - Ash Dieback/Tree Works (£2,000) + £2,880 held in deposit acct </t>
  </si>
  <si>
    <t>2025-26/104</t>
  </si>
  <si>
    <t>2025-26/105</t>
  </si>
  <si>
    <t>Cyfieithu Cymunedol Cyf - Translation of Section 6 Report</t>
  </si>
  <si>
    <t>G Lloyd Jones - reopening of grave for ashes interment (790)</t>
  </si>
  <si>
    <t>R202526-036</t>
  </si>
  <si>
    <t>L Williams - V/Hall Hire, 30/10/2025</t>
  </si>
  <si>
    <t>H Lowther - V/Hall Hire, 29/10/2025</t>
  </si>
  <si>
    <t>R202526-035</t>
  </si>
  <si>
    <t>R202526-034</t>
  </si>
  <si>
    <t>Trefriw Film Club - V/Hall Hire, 10/10/2025</t>
  </si>
  <si>
    <t>R202526-032</t>
  </si>
  <si>
    <t>G Lloyd Jones - reopening of grave for burial (104)</t>
  </si>
  <si>
    <t>R202526-038</t>
  </si>
  <si>
    <t>R202526-037</t>
  </si>
  <si>
    <t>Trefriw Film Club - V/Hall Hire, 22/11/2025</t>
  </si>
  <si>
    <t>R202526-039</t>
  </si>
  <si>
    <t>R202526-041</t>
  </si>
  <si>
    <t>L Williams - V/Hall Hire, 13/12/2025</t>
  </si>
  <si>
    <t>R202526-043</t>
  </si>
  <si>
    <t>R202526-044</t>
  </si>
  <si>
    <t>Trefriw Film Club - V/Hall Hire, 11/12/2025</t>
  </si>
  <si>
    <t>C Perry - Donation towards defibrilator maintenance</t>
  </si>
  <si>
    <t>Zurich Municipal - Insurance renewal 05/01/2025</t>
  </si>
  <si>
    <t>2025-26/106</t>
  </si>
  <si>
    <t>Tesco Mobile - TCC mobile charges, 14/12/25 to 13/01/26</t>
  </si>
  <si>
    <t>BT plc - V/Hall Wi-fi, December charges</t>
  </si>
  <si>
    <t>2025-26/107</t>
  </si>
  <si>
    <t>2025-26/108</t>
  </si>
  <si>
    <t>2025-26/109</t>
  </si>
  <si>
    <t>2025-26/110</t>
  </si>
  <si>
    <t>2025-26/111</t>
  </si>
  <si>
    <t>2025-26/112</t>
  </si>
  <si>
    <t>Amazon - VH sundries, 24 x glass tumblers</t>
  </si>
  <si>
    <t>Cleaner Care Ltd - VH cleaning for December (x2, none in Nov)</t>
  </si>
  <si>
    <t>2025-26/113</t>
  </si>
  <si>
    <t>HSBC - Bank Charge, cheque clearance and cash deposit</t>
  </si>
  <si>
    <t>HMRC Cumbernaud - Employer NIC 2025/26, Q3 to 05/01/2026</t>
  </si>
  <si>
    <t>Ogwen Valley - Donation in lieu of payment for Christmas Tree</t>
  </si>
  <si>
    <t>Clerk’s Salary for January</t>
  </si>
  <si>
    <t>2025-26/114</t>
  </si>
  <si>
    <t>2025-26/115</t>
  </si>
  <si>
    <t>2025-26/116</t>
  </si>
  <si>
    <t>Dŵr Cymru - VH usage 01/07/2025 to 24/12/25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</si>
</sst>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0.0%"/>
    <numFmt numFmtId="165" formatCode="0.0000"/>
    <numFmt numFmtId="166" formatCode="#,##0.00_ ;[Red]\-#,##0.00\ "/>
    <numFmt numFmtId="167" formatCode="0.0"/>
  </numFmts>
  <fonts count="21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.5"/>
      <color theme="1"/>
      <name val="Arial Narrow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b/>
      <sz val="10"/>
      <color theme="1"/>
      <name val="Wingdings"/>
      <charset val="2"/>
    </font>
    <font>
      <sz val="10"/>
      <color theme="1"/>
      <name val="Wingdings"/>
      <charset val="2"/>
    </font>
    <font>
      <b/>
      <sz val="10"/>
      <name val="Arial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9"/>
      <name val="Arial Narrow"/>
      <family val="2"/>
    </font>
    <font>
      <sz val="9.5"/>
      <color theme="1"/>
      <name val="Aptos Narrow"/>
      <family val="2"/>
    </font>
    <font>
      <sz val="10"/>
      <color theme="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</cellStyleXfs>
  <cellXfs count="40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17" fontId="0" fillId="0" borderId="0" xfId="0" applyNumberFormat="1"/>
    <xf numFmtId="1" fontId="0" fillId="0" borderId="0" xfId="0" applyNumberFormat="1"/>
    <xf numFmtId="14" fontId="1" fillId="0" borderId="0" xfId="0" applyNumberFormat="1" applyFont="1"/>
    <xf numFmtId="14" fontId="0" fillId="3" borderId="0" xfId="0" applyNumberFormat="1" applyFill="1"/>
    <xf numFmtId="14" fontId="0" fillId="2" borderId="0" xfId="0" applyNumberFormat="1" applyFill="1"/>
    <xf numFmtId="2" fontId="0" fillId="0" borderId="0" xfId="0" applyNumberFormat="1"/>
    <xf numFmtId="2" fontId="1" fillId="0" borderId="0" xfId="0" applyNumberFormat="1" applyFont="1"/>
    <xf numFmtId="0" fontId="0" fillId="4" borderId="0" xfId="0" applyFill="1"/>
    <xf numFmtId="2" fontId="0" fillId="3" borderId="0" xfId="0" applyNumberFormat="1" applyFill="1"/>
    <xf numFmtId="2" fontId="0" fillId="4" borderId="0" xfId="0" applyNumberFormat="1" applyFill="1"/>
    <xf numFmtId="1" fontId="1" fillId="0" borderId="0" xfId="0" applyNumberFormat="1" applyFont="1"/>
    <xf numFmtId="1" fontId="0" fillId="4" borderId="0" xfId="0" applyNumberFormat="1" applyFill="1"/>
    <xf numFmtId="1" fontId="0" fillId="3" borderId="0" xfId="0" applyNumberForma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0" applyNumberFormat="1" applyFill="1"/>
    <xf numFmtId="2" fontId="0" fillId="2" borderId="0" xfId="0" applyNumberFormat="1" applyFill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17" fontId="0" fillId="0" borderId="2" xfId="0" applyNumberFormat="1" applyBorder="1"/>
    <xf numFmtId="0" fontId="0" fillId="0" borderId="2" xfId="0" applyBorder="1"/>
    <xf numFmtId="17" fontId="1" fillId="0" borderId="2" xfId="0" applyNumberFormat="1" applyFont="1" applyBorder="1"/>
    <xf numFmtId="0" fontId="0" fillId="0" borderId="4" xfId="0" applyBorder="1"/>
    <xf numFmtId="0" fontId="0" fillId="0" borderId="5" xfId="0" applyBorder="1"/>
    <xf numFmtId="2" fontId="1" fillId="0" borderId="5" xfId="0" applyNumberFormat="1" applyFont="1" applyBorder="1"/>
    <xf numFmtId="0" fontId="0" fillId="5" borderId="8" xfId="0" applyFill="1" applyBorder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/>
    <xf numFmtId="0" fontId="1" fillId="0" borderId="0" xfId="0" applyFont="1" applyAlignment="1">
      <alignment horizontal="center" wrapText="1"/>
    </xf>
    <xf numFmtId="17" fontId="1" fillId="0" borderId="10" xfId="0" applyNumberFormat="1" applyFont="1" applyBorder="1"/>
    <xf numFmtId="2" fontId="1" fillId="0" borderId="11" xfId="0" applyNumberFormat="1" applyFont="1" applyBorder="1"/>
    <xf numFmtId="17" fontId="0" fillId="0" borderId="15" xfId="0" applyNumberFormat="1" applyBorder="1"/>
    <xf numFmtId="2" fontId="0" fillId="0" borderId="16" xfId="0" applyNumberFormat="1" applyBorder="1"/>
    <xf numFmtId="0" fontId="1" fillId="5" borderId="1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left"/>
    </xf>
    <xf numFmtId="2" fontId="0" fillId="5" borderId="8" xfId="0" applyNumberFormat="1" applyFill="1" applyBorder="1" applyAlignment="1">
      <alignment horizontal="right"/>
    </xf>
    <xf numFmtId="14" fontId="0" fillId="5" borderId="8" xfId="0" applyNumberFormat="1" applyFill="1" applyBorder="1" applyAlignment="1">
      <alignment horizontal="right"/>
    </xf>
    <xf numFmtId="164" fontId="0" fillId="0" borderId="3" xfId="0" applyNumberFormat="1" applyBorder="1"/>
    <xf numFmtId="0" fontId="0" fillId="0" borderId="5" xfId="0" applyBorder="1" applyAlignment="1">
      <alignment horizontal="left"/>
    </xf>
    <xf numFmtId="1" fontId="0" fillId="0" borderId="5" xfId="0" applyNumberFormat="1" applyBorder="1"/>
    <xf numFmtId="164" fontId="0" fillId="0" borderId="6" xfId="0" applyNumberFormat="1" applyBorder="1"/>
    <xf numFmtId="14" fontId="1" fillId="0" borderId="5" xfId="0" applyNumberFormat="1" applyFont="1" applyBorder="1"/>
    <xf numFmtId="0" fontId="0" fillId="0" borderId="20" xfId="0" applyBorder="1"/>
    <xf numFmtId="0" fontId="0" fillId="0" borderId="21" xfId="0" applyBorder="1"/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14" fontId="0" fillId="0" borderId="5" xfId="0" applyNumberFormat="1" applyBorder="1"/>
    <xf numFmtId="1" fontId="1" fillId="0" borderId="5" xfId="0" applyNumberFormat="1" applyFont="1" applyBorder="1"/>
    <xf numFmtId="0" fontId="0" fillId="0" borderId="23" xfId="0" applyBorder="1"/>
    <xf numFmtId="14" fontId="0" fillId="0" borderId="24" xfId="0" applyNumberFormat="1" applyBorder="1"/>
    <xf numFmtId="0" fontId="0" fillId="0" borderId="22" xfId="0" applyBorder="1"/>
    <xf numFmtId="0" fontId="0" fillId="0" borderId="24" xfId="0" applyBorder="1" applyAlignment="1">
      <alignment horizontal="left"/>
    </xf>
    <xf numFmtId="0" fontId="0" fillId="0" borderId="24" xfId="0" applyBorder="1"/>
    <xf numFmtId="2" fontId="1" fillId="0" borderId="24" xfId="0" applyNumberFormat="1" applyFont="1" applyBorder="1"/>
    <xf numFmtId="1" fontId="1" fillId="0" borderId="24" xfId="0" applyNumberFormat="1" applyFont="1" applyBorder="1"/>
    <xf numFmtId="1" fontId="0" fillId="0" borderId="24" xfId="0" applyNumberFormat="1" applyBorder="1"/>
    <xf numFmtId="164" fontId="0" fillId="0" borderId="25" xfId="0" applyNumberFormat="1" applyBorder="1"/>
    <xf numFmtId="0" fontId="7" fillId="0" borderId="1" xfId="0" applyFont="1" applyBorder="1"/>
    <xf numFmtId="0" fontId="0" fillId="5" borderId="27" xfId="0" applyFill="1" applyBorder="1"/>
    <xf numFmtId="0" fontId="0" fillId="5" borderId="27" xfId="0" applyFill="1" applyBorder="1" applyAlignment="1">
      <alignment horizontal="left"/>
    </xf>
    <xf numFmtId="2" fontId="0" fillId="5" borderId="27" xfId="0" applyNumberFormat="1" applyFill="1" applyBorder="1" applyAlignment="1">
      <alignment horizontal="right"/>
    </xf>
    <xf numFmtId="14" fontId="0" fillId="5" borderId="27" xfId="0" applyNumberFormat="1" applyFill="1" applyBorder="1" applyAlignment="1">
      <alignment horizontal="right"/>
    </xf>
    <xf numFmtId="17" fontId="0" fillId="5" borderId="26" xfId="0" applyNumberFormat="1" applyFill="1" applyBorder="1"/>
    <xf numFmtId="0" fontId="1" fillId="5" borderId="27" xfId="0" applyFont="1" applyFill="1" applyBorder="1"/>
    <xf numFmtId="17" fontId="1" fillId="0" borderId="7" xfId="0" applyNumberFormat="1" applyFont="1" applyBorder="1"/>
    <xf numFmtId="0" fontId="0" fillId="0" borderId="8" xfId="0" applyBorder="1"/>
    <xf numFmtId="14" fontId="0" fillId="0" borderId="8" xfId="0" applyNumberFormat="1" applyBorder="1"/>
    <xf numFmtId="0" fontId="0" fillId="0" borderId="8" xfId="0" applyBorder="1" applyAlignment="1">
      <alignment horizontal="right"/>
    </xf>
    <xf numFmtId="17" fontId="1" fillId="0" borderId="4" xfId="0" applyNumberFormat="1" applyFont="1" applyBorder="1"/>
    <xf numFmtId="14" fontId="0" fillId="0" borderId="8" xfId="0" applyNumberFormat="1" applyBorder="1" applyAlignment="1">
      <alignment horizontal="center"/>
    </xf>
    <xf numFmtId="2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0" fillId="0" borderId="29" xfId="0" applyBorder="1"/>
    <xf numFmtId="17" fontId="1" fillId="0" borderId="15" xfId="0" applyNumberFormat="1" applyFont="1" applyBorder="1"/>
    <xf numFmtId="0" fontId="0" fillId="0" borderId="16" xfId="0" applyBorder="1"/>
    <xf numFmtId="14" fontId="0" fillId="0" borderId="16" xfId="0" applyNumberFormat="1" applyBorder="1"/>
    <xf numFmtId="2" fontId="9" fillId="7" borderId="21" xfId="2" applyNumberFormat="1" applyBorder="1"/>
    <xf numFmtId="2" fontId="8" fillId="8" borderId="20" xfId="1" applyNumberFormat="1" applyFill="1" applyBorder="1"/>
    <xf numFmtId="0" fontId="1" fillId="0" borderId="19" xfId="0" applyFont="1" applyBorder="1"/>
    <xf numFmtId="2" fontId="1" fillId="9" borderId="20" xfId="0" applyNumberFormat="1" applyFont="1" applyFill="1" applyBorder="1"/>
    <xf numFmtId="14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/>
    <xf numFmtId="1" fontId="1" fillId="0" borderId="11" xfId="0" applyNumberFormat="1" applyFont="1" applyBorder="1"/>
    <xf numFmtId="2" fontId="5" fillId="0" borderId="0" xfId="0" applyNumberFormat="1" applyFont="1"/>
    <xf numFmtId="1" fontId="0" fillId="0" borderId="11" xfId="0" applyNumberFormat="1" applyBorder="1"/>
    <xf numFmtId="164" fontId="0" fillId="0" borderId="14" xfId="0" applyNumberFormat="1" applyBorder="1"/>
    <xf numFmtId="0" fontId="0" fillId="0" borderId="16" xfId="0" applyBorder="1" applyAlignment="1">
      <alignment horizontal="left"/>
    </xf>
    <xf numFmtId="2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1" xfId="0" applyFont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16" xfId="0" applyFill="1" applyBorder="1"/>
    <xf numFmtId="0" fontId="0" fillId="5" borderId="16" xfId="0" applyFill="1" applyBorder="1" applyAlignment="1">
      <alignment horizontal="left"/>
    </xf>
    <xf numFmtId="0" fontId="0" fillId="5" borderId="16" xfId="0" applyFill="1" applyBorder="1" applyAlignment="1">
      <alignment horizontal="center"/>
    </xf>
    <xf numFmtId="2" fontId="0" fillId="5" borderId="16" xfId="0" applyNumberFormat="1" applyFill="1" applyBorder="1" applyAlignment="1">
      <alignment horizontal="right"/>
    </xf>
    <xf numFmtId="14" fontId="0" fillId="5" borderId="16" xfId="0" applyNumberFormat="1" applyFill="1" applyBorder="1" applyAlignment="1">
      <alignment horizontal="right"/>
    </xf>
    <xf numFmtId="2" fontId="2" fillId="0" borderId="12" xfId="0" applyNumberFormat="1" applyFont="1" applyBorder="1" applyAlignment="1">
      <alignment horizontal="right" wrapText="1"/>
    </xf>
    <xf numFmtId="2" fontId="0" fillId="5" borderId="30" xfId="0" applyNumberFormat="1" applyFill="1" applyBorder="1" applyAlignment="1">
      <alignment horizontal="right"/>
    </xf>
    <xf numFmtId="1" fontId="0" fillId="0" borderId="31" xfId="0" applyNumberFormat="1" applyBorder="1" applyAlignment="1">
      <alignment horizontal="right"/>
    </xf>
    <xf numFmtId="1" fontId="0" fillId="0" borderId="31" xfId="0" applyNumberFormat="1" applyBorder="1"/>
    <xf numFmtId="1" fontId="0" fillId="0" borderId="32" xfId="0" applyNumberFormat="1" applyBorder="1"/>
    <xf numFmtId="1" fontId="0" fillId="0" borderId="33" xfId="0" applyNumberFormat="1" applyBorder="1"/>
    <xf numFmtId="1" fontId="0" fillId="0" borderId="34" xfId="0" applyNumberFormat="1" applyBorder="1" applyAlignment="1">
      <alignment horizontal="right"/>
    </xf>
    <xf numFmtId="1" fontId="0" fillId="0" borderId="32" xfId="0" applyNumberFormat="1" applyBorder="1" applyAlignment="1">
      <alignment horizontal="right"/>
    </xf>
    <xf numFmtId="2" fontId="0" fillId="5" borderId="34" xfId="0" applyNumberFormat="1" applyFill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2" fontId="0" fillId="5" borderId="35" xfId="0" applyNumberFormat="1" applyFill="1" applyBorder="1" applyAlignment="1">
      <alignment horizontal="right"/>
    </xf>
    <xf numFmtId="1" fontId="0" fillId="0" borderId="36" xfId="0" applyNumberFormat="1" applyBorder="1"/>
    <xf numFmtId="49" fontId="0" fillId="0" borderId="34" xfId="0" applyNumberFormat="1" applyBorder="1" applyAlignment="1">
      <alignment horizontal="right"/>
    </xf>
    <xf numFmtId="14" fontId="0" fillId="0" borderId="16" xfId="0" applyNumberFormat="1" applyBorder="1" applyAlignment="1">
      <alignment horizontal="center"/>
    </xf>
    <xf numFmtId="14" fontId="0" fillId="10" borderId="1" xfId="0" applyNumberFormat="1" applyFill="1" applyBorder="1"/>
    <xf numFmtId="14" fontId="0" fillId="10" borderId="24" xfId="0" applyNumberFormat="1" applyFill="1" applyBorder="1"/>
    <xf numFmtId="0" fontId="0" fillId="0" borderId="37" xfId="0" applyBorder="1"/>
    <xf numFmtId="17" fontId="1" fillId="0" borderId="22" xfId="0" applyNumberFormat="1" applyFont="1" applyBorder="1"/>
    <xf numFmtId="0" fontId="0" fillId="0" borderId="24" xfId="0" applyBorder="1" applyAlignment="1">
      <alignment horizontal="right"/>
    </xf>
    <xf numFmtId="0" fontId="1" fillId="5" borderId="17" xfId="0" applyFont="1" applyFill="1" applyBorder="1" applyAlignment="1">
      <alignment horizontal="center" vertical="center" wrapText="1"/>
    </xf>
    <xf numFmtId="0" fontId="0" fillId="0" borderId="38" xfId="0" applyBorder="1"/>
    <xf numFmtId="0" fontId="2" fillId="0" borderId="24" xfId="0" applyFont="1" applyBorder="1"/>
    <xf numFmtId="2" fontId="2" fillId="0" borderId="24" xfId="0" applyNumberFormat="1" applyFont="1" applyBorder="1"/>
    <xf numFmtId="14" fontId="2" fillId="10" borderId="24" xfId="0" applyNumberFormat="1" applyFont="1" applyFill="1" applyBorder="1"/>
    <xf numFmtId="0" fontId="0" fillId="0" borderId="5" xfId="0" applyBorder="1" applyAlignment="1">
      <alignment horizontal="right"/>
    </xf>
    <xf numFmtId="0" fontId="0" fillId="5" borderId="19" xfId="0" applyFill="1" applyBorder="1" applyAlignment="1">
      <alignment vertical="center"/>
    </xf>
    <xf numFmtId="0" fontId="7" fillId="0" borderId="24" xfId="0" applyFont="1" applyBorder="1"/>
    <xf numFmtId="8" fontId="0" fillId="0" borderId="0" xfId="0" applyNumberFormat="1"/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2" xfId="0" applyFont="1" applyBorder="1"/>
    <xf numFmtId="0" fontId="1" fillId="0" borderId="4" xfId="0" applyFont="1" applyBorder="1"/>
    <xf numFmtId="4" fontId="0" fillId="0" borderId="16" xfId="0" applyNumberFormat="1" applyBorder="1" applyAlignment="1">
      <alignment vertical="center"/>
    </xf>
    <xf numFmtId="4" fontId="0" fillId="0" borderId="16" xfId="0" applyNumberFormat="1" applyBorder="1"/>
    <xf numFmtId="4" fontId="0" fillId="0" borderId="12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1" fillId="0" borderId="11" xfId="0" applyNumberFormat="1" applyFont="1" applyBorder="1"/>
    <xf numFmtId="14" fontId="0" fillId="0" borderId="1" xfId="0" applyNumberFormat="1" applyBorder="1" applyAlignment="1">
      <alignment horizontal="center"/>
    </xf>
    <xf numFmtId="4" fontId="0" fillId="0" borderId="8" xfId="0" applyNumberFormat="1" applyBorder="1"/>
    <xf numFmtId="4" fontId="1" fillId="0" borderId="6" xfId="0" applyNumberFormat="1" applyFont="1" applyBorder="1"/>
    <xf numFmtId="4" fontId="1" fillId="0" borderId="24" xfId="0" applyNumberFormat="1" applyFont="1" applyBorder="1"/>
    <xf numFmtId="0" fontId="0" fillId="5" borderId="17" xfId="0" applyFill="1" applyBorder="1"/>
    <xf numFmtId="0" fontId="0" fillId="5" borderId="18" xfId="0" applyFill="1" applyBorder="1"/>
    <xf numFmtId="0" fontId="0" fillId="5" borderId="18" xfId="0" applyFill="1" applyBorder="1" applyAlignment="1">
      <alignment horizontal="left"/>
    </xf>
    <xf numFmtId="0" fontId="0" fillId="5" borderId="18" xfId="0" applyFill="1" applyBorder="1" applyAlignment="1">
      <alignment horizontal="center"/>
    </xf>
    <xf numFmtId="2" fontId="0" fillId="5" borderId="18" xfId="0" applyNumberFormat="1" applyFill="1" applyBorder="1" applyAlignment="1">
      <alignment horizontal="right"/>
    </xf>
    <xf numFmtId="14" fontId="0" fillId="5" borderId="18" xfId="0" applyNumberFormat="1" applyFill="1" applyBorder="1" applyAlignment="1">
      <alignment horizontal="right"/>
    </xf>
    <xf numFmtId="2" fontId="0" fillId="5" borderId="41" xfId="0" applyNumberFormat="1" applyFill="1" applyBorder="1" applyAlignment="1">
      <alignment horizontal="right"/>
    </xf>
    <xf numFmtId="165" fontId="0" fillId="0" borderId="0" xfId="0" applyNumberFormat="1"/>
    <xf numFmtId="8" fontId="1" fillId="0" borderId="40" xfId="0" applyNumberFormat="1" applyFont="1" applyBorder="1" applyAlignment="1">
      <alignment vertical="center" wrapText="1"/>
    </xf>
    <xf numFmtId="8" fontId="1" fillId="0" borderId="42" xfId="0" applyNumberFormat="1" applyFont="1" applyBorder="1" applyAlignment="1">
      <alignment vertical="center" wrapText="1"/>
    </xf>
    <xf numFmtId="1" fontId="0" fillId="0" borderId="39" xfId="0" applyNumberFormat="1" applyBorder="1" applyAlignment="1">
      <alignment vertical="center"/>
    </xf>
    <xf numFmtId="2" fontId="0" fillId="0" borderId="31" xfId="0" applyNumberFormat="1" applyBorder="1"/>
    <xf numFmtId="14" fontId="0" fillId="10" borderId="29" xfId="0" applyNumberFormat="1" applyFill="1" applyBorder="1" applyAlignment="1">
      <alignment vertical="center"/>
    </xf>
    <xf numFmtId="1" fontId="2" fillId="0" borderId="1" xfId="0" applyNumberFormat="1" applyFont="1" applyBorder="1"/>
    <xf numFmtId="1" fontId="0" fillId="0" borderId="16" xfId="0" applyNumberFormat="1" applyBorder="1"/>
    <xf numFmtId="1" fontId="0" fillId="0" borderId="16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24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1" fontId="11" fillId="5" borderId="8" xfId="0" applyNumberFormat="1" applyFont="1" applyFill="1" applyBorder="1" applyAlignment="1">
      <alignment horizontal="right" wrapText="1"/>
    </xf>
    <xf numFmtId="1" fontId="11" fillId="5" borderId="16" xfId="0" applyNumberFormat="1" applyFont="1" applyFill="1" applyBorder="1" applyAlignment="1">
      <alignment horizontal="right" wrapText="1"/>
    </xf>
    <xf numFmtId="1" fontId="11" fillId="5" borderId="27" xfId="0" applyNumberFormat="1" applyFont="1" applyFill="1" applyBorder="1" applyAlignment="1">
      <alignment horizontal="right" wrapText="1"/>
    </xf>
    <xf numFmtId="1" fontId="11" fillId="5" borderId="18" xfId="0" applyNumberFormat="1" applyFont="1" applyFill="1" applyBorder="1" applyAlignment="1">
      <alignment horizontal="right" wrapText="1"/>
    </xf>
    <xf numFmtId="0" fontId="0" fillId="5" borderId="8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44" xfId="0" applyFill="1" applyBorder="1"/>
    <xf numFmtId="0" fontId="0" fillId="5" borderId="45" xfId="0" applyFill="1" applyBorder="1" applyAlignment="1">
      <alignment horizontal="left"/>
    </xf>
    <xf numFmtId="0" fontId="0" fillId="5" borderId="40" xfId="0" applyFill="1" applyBorder="1" applyAlignment="1">
      <alignment wrapText="1"/>
    </xf>
    <xf numFmtId="166" fontId="0" fillId="0" borderId="1" xfId="0" applyNumberFormat="1" applyBorder="1" applyAlignment="1">
      <alignment vertical="center" wrapText="1"/>
    </xf>
    <xf numFmtId="0" fontId="0" fillId="5" borderId="40" xfId="0" applyFill="1" applyBorder="1"/>
    <xf numFmtId="0" fontId="0" fillId="5" borderId="18" xfId="0" applyFill="1" applyBorder="1" applyAlignment="1">
      <alignment wrapText="1"/>
    </xf>
    <xf numFmtId="164" fontId="0" fillId="0" borderId="12" xfId="0" applyNumberFormat="1" applyBorder="1"/>
    <xf numFmtId="0" fontId="0" fillId="5" borderId="45" xfId="0" applyFill="1" applyBorder="1" applyAlignment="1">
      <alignment wrapText="1"/>
    </xf>
    <xf numFmtId="0" fontId="12" fillId="0" borderId="24" xfId="0" applyFont="1" applyBorder="1"/>
    <xf numFmtId="1" fontId="2" fillId="0" borderId="29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0" xfId="0" applyBorder="1"/>
    <xf numFmtId="9" fontId="0" fillId="0" borderId="12" xfId="0" applyNumberFormat="1" applyBorder="1"/>
    <xf numFmtId="1" fontId="14" fillId="0" borderId="32" xfId="0" applyNumberFormat="1" applyFont="1" applyBorder="1" applyAlignment="1">
      <alignment horizontal="center"/>
    </xf>
    <xf numFmtId="4" fontId="5" fillId="0" borderId="0" xfId="0" applyNumberFormat="1" applyFont="1"/>
    <xf numFmtId="4" fontId="1" fillId="0" borderId="25" xfId="0" applyNumberFormat="1" applyFont="1" applyBorder="1"/>
    <xf numFmtId="4" fontId="1" fillId="0" borderId="0" xfId="0" applyNumberFormat="1" applyFont="1"/>
    <xf numFmtId="4" fontId="0" fillId="0" borderId="0" xfId="0" applyNumberFormat="1"/>
    <xf numFmtId="4" fontId="0" fillId="4" borderId="0" xfId="0" applyNumberFormat="1" applyFill="1"/>
    <xf numFmtId="4" fontId="1" fillId="5" borderId="27" xfId="0" applyNumberFormat="1" applyFont="1" applyFill="1" applyBorder="1"/>
    <xf numFmtId="4" fontId="1" fillId="5" borderId="28" xfId="0" applyNumberFormat="1" applyFont="1" applyFill="1" applyBorder="1" applyAlignment="1">
      <alignment horizontal="right"/>
    </xf>
    <xf numFmtId="4" fontId="0" fillId="0" borderId="9" xfId="0" applyNumberFormat="1" applyBorder="1"/>
    <xf numFmtId="4" fontId="1" fillId="0" borderId="3" xfId="0" applyNumberFormat="1" applyFont="1" applyBorder="1"/>
    <xf numFmtId="4" fontId="1" fillId="0" borderId="12" xfId="0" applyNumberFormat="1" applyFont="1" applyBorder="1"/>
    <xf numFmtId="4" fontId="1" fillId="0" borderId="9" xfId="0" applyNumberFormat="1" applyFont="1" applyBorder="1"/>
    <xf numFmtId="4" fontId="1" fillId="0" borderId="5" xfId="0" applyNumberFormat="1" applyFont="1" applyBorder="1"/>
    <xf numFmtId="4" fontId="1" fillId="0" borderId="1" xfId="0" applyNumberFormat="1" applyFont="1" applyBorder="1"/>
    <xf numFmtId="4" fontId="0" fillId="0" borderId="24" xfId="0" applyNumberFormat="1" applyBorder="1"/>
    <xf numFmtId="0" fontId="0" fillId="11" borderId="10" xfId="0" applyFill="1" applyBorder="1"/>
    <xf numFmtId="0" fontId="0" fillId="11" borderId="11" xfId="0" applyFill="1" applyBorder="1"/>
    <xf numFmtId="0" fontId="1" fillId="11" borderId="11" xfId="0" applyFont="1" applyFill="1" applyBorder="1"/>
    <xf numFmtId="4" fontId="1" fillId="11" borderId="11" xfId="0" applyNumberFormat="1" applyFont="1" applyFill="1" applyBorder="1"/>
    <xf numFmtId="4" fontId="1" fillId="11" borderId="14" xfId="0" applyNumberFormat="1" applyFont="1" applyFill="1" applyBorder="1"/>
    <xf numFmtId="16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6" xfId="0" applyNumberFormat="1" applyBorder="1" applyAlignment="1">
      <alignment horizontal="right"/>
    </xf>
    <xf numFmtId="1" fontId="0" fillId="0" borderId="34" xfId="0" applyNumberFormat="1" applyBorder="1"/>
    <xf numFmtId="164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/>
    <xf numFmtId="4" fontId="15" fillId="0" borderId="5" xfId="0" applyNumberFormat="1" applyFont="1" applyBorder="1"/>
    <xf numFmtId="17" fontId="1" fillId="0" borderId="43" xfId="0" applyNumberFormat="1" applyFont="1" applyBorder="1"/>
    <xf numFmtId="17" fontId="1" fillId="5" borderId="44" xfId="0" applyNumberFormat="1" applyFont="1" applyFill="1" applyBorder="1"/>
    <xf numFmtId="17" fontId="0" fillId="5" borderId="17" xfId="0" applyNumberFormat="1" applyFill="1" applyBorder="1"/>
    <xf numFmtId="2" fontId="10" fillId="0" borderId="13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1" fontId="2" fillId="0" borderId="16" xfId="0" applyNumberFormat="1" applyFont="1" applyBorder="1"/>
    <xf numFmtId="14" fontId="2" fillId="10" borderId="16" xfId="0" applyNumberFormat="1" applyFont="1" applyFill="1" applyBorder="1"/>
    <xf numFmtId="0" fontId="0" fillId="5" borderId="27" xfId="0" applyFill="1" applyBorder="1" applyAlignment="1">
      <alignment wrapText="1"/>
    </xf>
    <xf numFmtId="0" fontId="12" fillId="0" borderId="16" xfId="0" applyFont="1" applyBorder="1"/>
    <xf numFmtId="0" fontId="7" fillId="0" borderId="16" xfId="0" applyFont="1" applyBorder="1"/>
    <xf numFmtId="14" fontId="0" fillId="10" borderId="16" xfId="0" applyNumberFormat="1" applyFill="1" applyBorder="1"/>
    <xf numFmtId="164" fontId="2" fillId="0" borderId="2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0" fillId="5" borderId="41" xfId="0" applyFill="1" applyBorder="1"/>
    <xf numFmtId="2" fontId="0" fillId="5" borderId="45" xfId="0" applyNumberFormat="1" applyFill="1" applyBorder="1" applyAlignment="1">
      <alignment horizontal="right"/>
    </xf>
    <xf numFmtId="2" fontId="0" fillId="5" borderId="40" xfId="0" applyNumberFormat="1" applyFill="1" applyBorder="1" applyAlignment="1">
      <alignment horizontal="right"/>
    </xf>
    <xf numFmtId="0" fontId="0" fillId="0" borderId="20" xfId="0" applyBorder="1" applyAlignment="1">
      <alignment wrapText="1"/>
    </xf>
    <xf numFmtId="0" fontId="0" fillId="0" borderId="11" xfId="0" applyBorder="1" applyAlignment="1">
      <alignment horizontal="right"/>
    </xf>
    <xf numFmtId="4" fontId="1" fillId="0" borderId="14" xfId="0" applyNumberFormat="1" applyFont="1" applyBorder="1"/>
    <xf numFmtId="4" fontId="1" fillId="0" borderId="8" xfId="0" applyNumberFormat="1" applyFont="1" applyBorder="1"/>
    <xf numFmtId="2" fontId="9" fillId="13" borderId="21" xfId="2" applyNumberFormat="1" applyFill="1" applyBorder="1"/>
    <xf numFmtId="40" fontId="0" fillId="0" borderId="16" xfId="0" applyNumberFormat="1" applyBorder="1" applyAlignment="1">
      <alignment vertical="center" wrapText="1"/>
    </xf>
    <xf numFmtId="40" fontId="0" fillId="0" borderId="1" xfId="0" applyNumberFormat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7" fontId="1" fillId="5" borderId="17" xfId="0" applyNumberFormat="1" applyFont="1" applyFill="1" applyBorder="1"/>
    <xf numFmtId="0" fontId="0" fillId="5" borderId="46" xfId="0" applyFill="1" applyBorder="1"/>
    <xf numFmtId="0" fontId="2" fillId="0" borderId="11" xfId="0" applyFont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47" xfId="0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167" fontId="0" fillId="0" borderId="16" xfId="0" applyNumberFormat="1" applyBorder="1" applyAlignment="1">
      <alignment horizontal="center" vertical="center"/>
    </xf>
    <xf numFmtId="164" fontId="0" fillId="0" borderId="16" xfId="0" applyNumberFormat="1" applyBorder="1"/>
    <xf numFmtId="2" fontId="0" fillId="0" borderId="24" xfId="0" applyNumberFormat="1" applyBorder="1" applyAlignment="1">
      <alignment horizontal="right"/>
    </xf>
    <xf numFmtId="164" fontId="2" fillId="0" borderId="25" xfId="0" applyNumberFormat="1" applyFont="1" applyBorder="1" applyAlignment="1">
      <alignment horizontal="right" wrapText="1"/>
    </xf>
    <xf numFmtId="0" fontId="0" fillId="0" borderId="24" xfId="0" applyBorder="1" applyAlignment="1">
      <alignment vertical="center" wrapText="1"/>
    </xf>
    <xf numFmtId="2" fontId="0" fillId="0" borderId="24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1" fontId="0" fillId="0" borderId="24" xfId="0" applyNumberFormat="1" applyBorder="1" applyAlignment="1">
      <alignment horizontal="right" vertical="center"/>
    </xf>
    <xf numFmtId="1" fontId="0" fillId="0" borderId="32" xfId="0" applyNumberFormat="1" applyBorder="1" applyAlignment="1">
      <alignment horizontal="right" vertical="center"/>
    </xf>
    <xf numFmtId="164" fontId="0" fillId="0" borderId="25" xfId="0" applyNumberFormat="1" applyBorder="1" applyAlignment="1">
      <alignment vertical="center"/>
    </xf>
    <xf numFmtId="1" fontId="16" fillId="0" borderId="34" xfId="0" applyNumberFormat="1" applyFont="1" applyBorder="1" applyAlignment="1">
      <alignment horizontal="center"/>
    </xf>
    <xf numFmtId="4" fontId="0" fillId="0" borderId="16" xfId="0" applyNumberFormat="1" applyBorder="1" applyAlignment="1">
      <alignment horizontal="right"/>
    </xf>
    <xf numFmtId="2" fontId="0" fillId="5" borderId="48" xfId="0" applyNumberFormat="1" applyFill="1" applyBorder="1" applyAlignment="1">
      <alignment horizontal="right"/>
    </xf>
    <xf numFmtId="2" fontId="0" fillId="5" borderId="13" xfId="0" applyNumberFormat="1" applyFill="1" applyBorder="1" applyAlignment="1">
      <alignment horizontal="right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vertical="center"/>
    </xf>
    <xf numFmtId="14" fontId="0" fillId="0" borderId="16" xfId="0" applyNumberFormat="1" applyBorder="1" applyAlignment="1">
      <alignment wrapText="1"/>
    </xf>
    <xf numFmtId="17" fontId="0" fillId="0" borderId="10" xfId="0" applyNumberFormat="1" applyBorder="1"/>
    <xf numFmtId="1" fontId="0" fillId="0" borderId="11" xfId="0" applyNumberFormat="1" applyBorder="1" applyAlignment="1">
      <alignment horizontal="right"/>
    </xf>
    <xf numFmtId="1" fontId="0" fillId="0" borderId="36" xfId="0" applyNumberFormat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1" fontId="16" fillId="0" borderId="32" xfId="0" applyNumberFormat="1" applyFont="1" applyBorder="1" applyAlignment="1">
      <alignment horizontal="center"/>
    </xf>
    <xf numFmtId="17" fontId="0" fillId="0" borderId="22" xfId="0" applyNumberFormat="1" applyBorder="1"/>
    <xf numFmtId="1" fontId="2" fillId="0" borderId="24" xfId="0" applyNumberFormat="1" applyFont="1" applyBorder="1"/>
    <xf numFmtId="0" fontId="0" fillId="0" borderId="16" xfId="0" applyBorder="1" applyAlignment="1">
      <alignment horizontal="left" vertical="center"/>
    </xf>
    <xf numFmtId="2" fontId="2" fillId="0" borderId="24" xfId="0" applyNumberFormat="1" applyFont="1" applyBorder="1" applyAlignment="1">
      <alignment vertical="center"/>
    </xf>
    <xf numFmtId="166" fontId="0" fillId="0" borderId="0" xfId="0" applyNumberFormat="1"/>
    <xf numFmtId="0" fontId="0" fillId="0" borderId="2" xfId="0" applyBorder="1" applyAlignment="1">
      <alignment vertical="center"/>
    </xf>
    <xf numFmtId="2" fontId="0" fillId="0" borderId="16" xfId="0" applyNumberForma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1" fillId="0" borderId="15" xfId="0" applyNumberFormat="1" applyFont="1" applyBorder="1" applyAlignment="1">
      <alignment vertical="center"/>
    </xf>
    <xf numFmtId="2" fontId="0" fillId="0" borderId="16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" fontId="0" fillId="0" borderId="24" xfId="0" applyNumberFormat="1" applyBorder="1" applyAlignment="1">
      <alignment horizontal="left"/>
    </xf>
    <xf numFmtId="1" fontId="11" fillId="5" borderId="29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right" wrapText="1"/>
    </xf>
    <xf numFmtId="40" fontId="0" fillId="0" borderId="24" xfId="0" applyNumberFormat="1" applyBorder="1" applyAlignment="1">
      <alignment vertical="center" wrapText="1"/>
    </xf>
    <xf numFmtId="0" fontId="0" fillId="5" borderId="42" xfId="0" applyFill="1" applyBorder="1"/>
    <xf numFmtId="0" fontId="0" fillId="5" borderId="49" xfId="0" applyFill="1" applyBorder="1" applyAlignment="1">
      <alignment wrapText="1"/>
    </xf>
    <xf numFmtId="0" fontId="0" fillId="5" borderId="11" xfId="0" applyFill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1" xfId="0" applyFill="1" applyBorder="1"/>
    <xf numFmtId="2" fontId="0" fillId="5" borderId="11" xfId="0" applyNumberFormat="1" applyFill="1" applyBorder="1" applyAlignment="1">
      <alignment horizontal="right"/>
    </xf>
    <xf numFmtId="14" fontId="0" fillId="5" borderId="11" xfId="0" applyNumberFormat="1" applyFill="1" applyBorder="1" applyAlignment="1">
      <alignment horizontal="right"/>
    </xf>
    <xf numFmtId="2" fontId="0" fillId="5" borderId="36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27" xfId="0" applyBorder="1"/>
    <xf numFmtId="14" fontId="0" fillId="0" borderId="11" xfId="0" applyNumberFormat="1" applyBorder="1" applyAlignment="1">
      <alignment horizontal="center"/>
    </xf>
    <xf numFmtId="2" fontId="0" fillId="0" borderId="29" xfId="0" applyNumberFormat="1" applyBorder="1"/>
    <xf numFmtId="1" fontId="17" fillId="0" borderId="31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left" vertical="center"/>
    </xf>
    <xf numFmtId="1" fontId="0" fillId="0" borderId="24" xfId="0" applyNumberFormat="1" applyBorder="1" applyAlignment="1">
      <alignment vertical="center"/>
    </xf>
    <xf numFmtId="14" fontId="0" fillId="10" borderId="24" xfId="0" applyNumberFormat="1" applyFill="1" applyBorder="1" applyAlignment="1">
      <alignment horizontal="right"/>
    </xf>
    <xf numFmtId="164" fontId="2" fillId="14" borderId="3" xfId="0" applyNumberFormat="1" applyFont="1" applyFill="1" applyBorder="1"/>
    <xf numFmtId="164" fontId="0" fillId="9" borderId="16" xfId="0" applyNumberFormat="1" applyFill="1" applyBorder="1"/>
    <xf numFmtId="2" fontId="15" fillId="0" borderId="9" xfId="0" applyNumberFormat="1" applyFont="1" applyBorder="1" applyAlignment="1">
      <alignment horizontal="left" wrapText="1"/>
    </xf>
    <xf numFmtId="2" fontId="15" fillId="12" borderId="13" xfId="0" applyNumberFormat="1" applyFont="1" applyFill="1" applyBorder="1" applyAlignment="1">
      <alignment horizontal="left" wrapText="1"/>
    </xf>
    <xf numFmtId="2" fontId="18" fillId="0" borderId="28" xfId="0" applyNumberFormat="1" applyFont="1" applyBorder="1" applyAlignment="1">
      <alignment horizontal="right" wrapText="1"/>
    </xf>
    <xf numFmtId="2" fontId="15" fillId="0" borderId="13" xfId="0" applyNumberFormat="1" applyFont="1" applyBorder="1" applyAlignment="1">
      <alignment horizontal="right" wrapText="1"/>
    </xf>
    <xf numFmtId="2" fontId="15" fillId="0" borderId="9" xfId="0" applyNumberFormat="1" applyFont="1" applyBorder="1" applyAlignment="1">
      <alignment horizontal="right" wrapText="1"/>
    </xf>
    <xf numFmtId="2" fontId="15" fillId="0" borderId="14" xfId="0" applyNumberFormat="1" applyFont="1" applyBorder="1" applyAlignment="1">
      <alignment horizontal="right" wrapText="1"/>
    </xf>
    <xf numFmtId="14" fontId="0" fillId="0" borderId="1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167" fontId="0" fillId="0" borderId="16" xfId="0" applyNumberFormat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" fontId="0" fillId="0" borderId="16" xfId="0" applyNumberFormat="1" applyBorder="1" applyAlignment="1">
      <alignment vertical="center"/>
    </xf>
    <xf numFmtId="3" fontId="0" fillId="0" borderId="16" xfId="0" applyNumberFormat="1" applyBorder="1"/>
    <xf numFmtId="2" fontId="15" fillId="14" borderId="13" xfId="0" applyNumberFormat="1" applyFont="1" applyFill="1" applyBorder="1" applyAlignment="1">
      <alignment horizontal="right" wrapText="1"/>
    </xf>
    <xf numFmtId="8" fontId="6" fillId="0" borderId="0" xfId="0" applyNumberFormat="1" applyFont="1" applyAlignment="1">
      <alignment vertical="center" wrapText="1"/>
    </xf>
    <xf numFmtId="14" fontId="15" fillId="10" borderId="1" xfId="0" applyNumberFormat="1" applyFont="1" applyFill="1" applyBorder="1"/>
    <xf numFmtId="2" fontId="0" fillId="0" borderId="30" xfId="0" applyNumberFormat="1" applyBorder="1" applyAlignment="1">
      <alignment horizontal="right"/>
    </xf>
    <xf numFmtId="164" fontId="2" fillId="0" borderId="9" xfId="0" applyNumberFormat="1" applyFont="1" applyBorder="1" applyAlignment="1">
      <alignment horizontal="right" wrapText="1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5" borderId="27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2" fillId="0" borderId="11" xfId="0" applyNumberFormat="1" applyFont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15" fillId="0" borderId="28" xfId="0" applyNumberFormat="1" applyFont="1" applyBorder="1" applyAlignment="1">
      <alignment horizontal="right" wrapText="1"/>
    </xf>
    <xf numFmtId="164" fontId="0" fillId="15" borderId="3" xfId="0" applyNumberFormat="1" applyFill="1" applyBorder="1" applyAlignment="1">
      <alignment vertical="center"/>
    </xf>
    <xf numFmtId="14" fontId="0" fillId="10" borderId="16" xfId="0" applyNumberFormat="1" applyFill="1" applyBorder="1" applyAlignment="1">
      <alignment horizontal="center" vertical="center"/>
    </xf>
    <xf numFmtId="14" fontId="0" fillId="10" borderId="1" xfId="0" applyNumberFormat="1" applyFill="1" applyBorder="1" applyAlignment="1">
      <alignment vertical="center"/>
    </xf>
    <xf numFmtId="1" fontId="11" fillId="0" borderId="16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0" fontId="0" fillId="0" borderId="8" xfId="0" applyBorder="1" applyAlignment="1">
      <alignment vertical="center"/>
    </xf>
    <xf numFmtId="17" fontId="0" fillId="0" borderId="1" xfId="0" applyNumberFormat="1" applyBorder="1"/>
    <xf numFmtId="164" fontId="0" fillId="0" borderId="1" xfId="0" applyNumberFormat="1" applyBorder="1"/>
    <xf numFmtId="166" fontId="0" fillId="0" borderId="29" xfId="0" applyNumberFormat="1" applyBorder="1" applyAlignment="1">
      <alignment vertical="center" wrapText="1"/>
    </xf>
    <xf numFmtId="3" fontId="0" fillId="0" borderId="24" xfId="0" applyNumberFormat="1" applyBorder="1"/>
    <xf numFmtId="4" fontId="20" fillId="0" borderId="16" xfId="0" applyNumberFormat="1" applyFont="1" applyBorder="1"/>
    <xf numFmtId="1" fontId="20" fillId="0" borderId="1" xfId="0" applyNumberFormat="1" applyFont="1" applyBorder="1" applyAlignment="1">
      <alignment horizontal="right"/>
    </xf>
    <xf numFmtId="49" fontId="20" fillId="0" borderId="1" xfId="0" applyNumberFormat="1" applyFont="1" applyBorder="1" applyAlignment="1">
      <alignment horizontal="right"/>
    </xf>
    <xf numFmtId="1" fontId="20" fillId="0" borderId="24" xfId="0" applyNumberFormat="1" applyFont="1" applyBorder="1" applyAlignment="1">
      <alignment horizontal="right"/>
    </xf>
    <xf numFmtId="164" fontId="0" fillId="8" borderId="3" xfId="0" applyNumberFormat="1" applyFill="1" applyBorder="1"/>
    <xf numFmtId="164" fontId="0" fillId="9" borderId="12" xfId="0" applyNumberFormat="1" applyFill="1" applyBorder="1" applyAlignment="1">
      <alignment horizontal="right"/>
    </xf>
    <xf numFmtId="164" fontId="0" fillId="16" borderId="3" xfId="0" applyNumberFormat="1" applyFill="1" applyBorder="1"/>
    <xf numFmtId="14" fontId="1" fillId="10" borderId="1" xfId="0" applyNumberFormat="1" applyFont="1" applyFill="1" applyBorder="1" applyAlignment="1">
      <alignment vertical="center"/>
    </xf>
    <xf numFmtId="164" fontId="0" fillId="9" borderId="12" xfId="0" applyNumberFormat="1" applyFill="1" applyBorder="1"/>
    <xf numFmtId="1" fontId="0" fillId="0" borderId="8" xfId="0" applyNumberFormat="1" applyBorder="1"/>
    <xf numFmtId="14" fontId="0" fillId="10" borderId="16" xfId="0" applyNumberFormat="1" applyFill="1" applyBorder="1" applyAlignment="1">
      <alignment vertical="center"/>
    </xf>
    <xf numFmtId="14" fontId="0" fillId="0" borderId="16" xfId="0" applyNumberForma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24" xfId="0" applyNumberFormat="1" applyBorder="1" applyAlignment="1">
      <alignment horizontal="left"/>
    </xf>
    <xf numFmtId="0" fontId="0" fillId="0" borderId="50" xfId="0" applyBorder="1"/>
    <xf numFmtId="1" fontId="0" fillId="0" borderId="29" xfId="0" applyNumberFormat="1" applyBorder="1" applyAlignment="1">
      <alignment horizontal="right"/>
    </xf>
    <xf numFmtId="1" fontId="0" fillId="0" borderId="50" xfId="0" applyNumberFormat="1" applyBorder="1"/>
    <xf numFmtId="164" fontId="0" fillId="0" borderId="51" xfId="0" applyNumberForma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52"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auto="1"/>
      </font>
      <fill>
        <patternFill patternType="solid"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theme="4" tint="0.79998168889431442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auto="1"/>
      </font>
      <fill>
        <patternFill patternType="solid">
          <bgColor theme="4" tint="0.79998168889431442"/>
        </patternFill>
      </fill>
    </dxf>
  </dxfs>
  <tableStyles count="0" defaultTableStyle="TableStyleMedium2" defaultPivotStyle="PivotStyleLight16"/>
  <colors>
    <mruColors>
      <color rgb="FFFFCC66"/>
      <color rgb="FFFFCC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2:Q22"/>
  <sheetViews>
    <sheetView topLeftCell="A5" zoomScaleNormal="100" workbookViewId="0">
      <selection activeCell="H19" sqref="H19"/>
    </sheetView>
  </sheetViews>
  <sheetFormatPr defaultColWidth="9" defaultRowHeight="12.5" x14ac:dyDescent="0.25"/>
  <cols>
    <col min="1" max="1" width="9" style="38"/>
    <col min="2" max="2" width="11.6640625" style="38" bestFit="1" customWidth="1"/>
    <col min="3" max="3" width="18.109375" style="38" customWidth="1"/>
    <col min="4" max="4" width="18.44140625" style="38" customWidth="1"/>
    <col min="5" max="5" width="16.44140625" style="38" customWidth="1"/>
    <col min="6" max="6" width="11.88671875" style="38" customWidth="1"/>
    <col min="7" max="7" width="12.88671875" style="38" customWidth="1"/>
    <col min="8" max="8" width="16.44140625" style="38" customWidth="1"/>
    <col min="9" max="9" width="5.6640625" style="38" customWidth="1"/>
    <col min="10" max="10" width="14.44140625" style="38" customWidth="1"/>
    <col min="11" max="11" width="9.88671875" style="38" customWidth="1"/>
    <col min="12" max="12" width="10.21875" style="38" bestFit="1" customWidth="1"/>
    <col min="13" max="17" width="9.88671875" style="38" customWidth="1"/>
    <col min="18" max="16384" width="9" style="38"/>
  </cols>
  <sheetData>
    <row r="2" spans="2:17" ht="13" x14ac:dyDescent="0.3">
      <c r="C2" s="403" t="s">
        <v>288</v>
      </c>
      <c r="D2" s="404"/>
      <c r="E2" s="404"/>
    </row>
    <row r="4" spans="2:17" ht="13.5" thickBot="1" x14ac:dyDescent="0.35">
      <c r="H4" s="39"/>
    </row>
    <row r="5" spans="2:17" ht="40.25" customHeight="1" thickBot="1" x14ac:dyDescent="0.3">
      <c r="B5" s="161"/>
      <c r="C5" s="162" t="s">
        <v>245</v>
      </c>
      <c r="D5" s="162" t="s">
        <v>255</v>
      </c>
      <c r="E5" s="162" t="s">
        <v>246</v>
      </c>
      <c r="F5" s="162" t="s">
        <v>51</v>
      </c>
      <c r="G5" s="53" t="s">
        <v>52</v>
      </c>
      <c r="H5" s="54" t="s">
        <v>54</v>
      </c>
      <c r="J5" s="152" t="s">
        <v>248</v>
      </c>
      <c r="K5" s="53" t="s">
        <v>52</v>
      </c>
      <c r="L5" s="53" t="s">
        <v>233</v>
      </c>
      <c r="M5" s="53" t="s">
        <v>247</v>
      </c>
      <c r="N5" s="53" t="s">
        <v>222</v>
      </c>
      <c r="O5" s="53" t="s">
        <v>223</v>
      </c>
      <c r="P5" s="53" t="s">
        <v>234</v>
      </c>
      <c r="Q5" s="54" t="s">
        <v>24</v>
      </c>
    </row>
    <row r="6" spans="2:17" ht="13" x14ac:dyDescent="0.3">
      <c r="B6" s="163" t="s">
        <v>5</v>
      </c>
      <c r="C6" s="166">
        <v>765.26</v>
      </c>
      <c r="D6" s="167">
        <v>1616.26</v>
      </c>
      <c r="E6" s="260">
        <v>0</v>
      </c>
      <c r="F6" s="167">
        <v>227.7</v>
      </c>
      <c r="G6" s="167">
        <v>2000</v>
      </c>
      <c r="H6" s="168">
        <f>C6-D6-E6+F6+G6</f>
        <v>1376.7</v>
      </c>
      <c r="J6" s="51" t="s">
        <v>5</v>
      </c>
      <c r="K6" s="167">
        <v>2000</v>
      </c>
      <c r="L6" s="167">
        <v>227.7</v>
      </c>
      <c r="M6" s="167">
        <v>0</v>
      </c>
      <c r="N6" s="167">
        <v>0</v>
      </c>
      <c r="O6" s="167">
        <v>0</v>
      </c>
      <c r="P6" s="167">
        <v>0</v>
      </c>
      <c r="Q6" s="168">
        <f t="shared" ref="Q6:Q14" si="0">SUM(K6:P6)</f>
        <v>2227.6999999999998</v>
      </c>
    </row>
    <row r="7" spans="2:17" ht="13" x14ac:dyDescent="0.3">
      <c r="B7" s="164" t="s">
        <v>224</v>
      </c>
      <c r="C7" s="169">
        <f t="shared" ref="C7:C12" si="1">H6</f>
        <v>1376.7</v>
      </c>
      <c r="D7" s="169">
        <v>1967.4</v>
      </c>
      <c r="E7" s="261">
        <v>0</v>
      </c>
      <c r="F7" s="169">
        <v>311.8</v>
      </c>
      <c r="G7" s="169">
        <v>2000</v>
      </c>
      <c r="H7" s="168">
        <f>C7-D7-E7+F7+G7</f>
        <v>1721.1</v>
      </c>
      <c r="J7" s="31" t="s">
        <v>224</v>
      </c>
      <c r="K7" s="167">
        <v>2000</v>
      </c>
      <c r="L7" s="167">
        <v>227.8</v>
      </c>
      <c r="M7" s="167">
        <v>84</v>
      </c>
      <c r="N7" s="167">
        <v>0</v>
      </c>
      <c r="O7" s="167">
        <v>0</v>
      </c>
      <c r="P7" s="167">
        <v>0</v>
      </c>
      <c r="Q7" s="168">
        <f t="shared" si="0"/>
        <v>2311.8000000000002</v>
      </c>
    </row>
    <row r="8" spans="2:17" ht="13" x14ac:dyDescent="0.3">
      <c r="B8" s="164" t="s">
        <v>175</v>
      </c>
      <c r="C8" s="169">
        <f t="shared" si="1"/>
        <v>1721.1</v>
      </c>
      <c r="D8" s="169">
        <v>6246.14</v>
      </c>
      <c r="E8" s="262">
        <v>9975.6</v>
      </c>
      <c r="F8" s="169">
        <v>20.3</v>
      </c>
      <c r="G8" s="169">
        <v>15000</v>
      </c>
      <c r="H8" s="168">
        <f t="shared" ref="H8:H14" si="2">C8-D8+F8+G8</f>
        <v>10495.259999999998</v>
      </c>
      <c r="J8" s="31" t="s">
        <v>175</v>
      </c>
      <c r="K8" s="169">
        <v>15000</v>
      </c>
      <c r="L8" s="169">
        <v>20.3</v>
      </c>
      <c r="M8" s="169">
        <v>0</v>
      </c>
      <c r="N8" s="169">
        <v>0</v>
      </c>
      <c r="O8" s="169">
        <v>0</v>
      </c>
      <c r="P8" s="169">
        <v>0</v>
      </c>
      <c r="Q8" s="168">
        <f t="shared" si="0"/>
        <v>15020.3</v>
      </c>
    </row>
    <row r="9" spans="2:17" ht="13" x14ac:dyDescent="0.3">
      <c r="B9" s="164" t="s">
        <v>174</v>
      </c>
      <c r="C9" s="169">
        <f t="shared" si="1"/>
        <v>10495.259999999998</v>
      </c>
      <c r="D9" s="169">
        <v>11930.6</v>
      </c>
      <c r="E9" s="261">
        <v>0</v>
      </c>
      <c r="F9" s="169">
        <v>1127.0999999999999</v>
      </c>
      <c r="G9" s="169">
        <v>2500</v>
      </c>
      <c r="H9" s="168">
        <f t="shared" si="2"/>
        <v>2191.7599999999979</v>
      </c>
      <c r="J9" s="31" t="s">
        <v>174</v>
      </c>
      <c r="K9" s="169">
        <v>2500</v>
      </c>
      <c r="L9" s="169">
        <v>47.1</v>
      </c>
      <c r="M9" s="169">
        <v>580</v>
      </c>
      <c r="N9" s="169">
        <v>0</v>
      </c>
      <c r="O9" s="169">
        <v>500</v>
      </c>
      <c r="P9" s="169">
        <v>0</v>
      </c>
      <c r="Q9" s="168">
        <f t="shared" si="0"/>
        <v>3627.1</v>
      </c>
    </row>
    <row r="10" spans="2:17" ht="13" x14ac:dyDescent="0.3">
      <c r="B10" s="164" t="s">
        <v>176</v>
      </c>
      <c r="C10" s="169">
        <f t="shared" si="1"/>
        <v>2191.7599999999979</v>
      </c>
      <c r="D10" s="169">
        <v>2024.24</v>
      </c>
      <c r="E10" s="261">
        <v>0</v>
      </c>
      <c r="F10" s="169">
        <v>839.26</v>
      </c>
      <c r="G10" s="169">
        <v>1000</v>
      </c>
      <c r="H10" s="168">
        <f t="shared" si="2"/>
        <v>2006.7799999999979</v>
      </c>
      <c r="J10" s="31" t="s">
        <v>176</v>
      </c>
      <c r="K10" s="169">
        <v>1000</v>
      </c>
      <c r="L10" s="169">
        <v>60.26</v>
      </c>
      <c r="M10" s="169">
        <v>779</v>
      </c>
      <c r="N10" s="169">
        <v>0</v>
      </c>
      <c r="O10" s="169">
        <v>0</v>
      </c>
      <c r="P10" s="169">
        <v>0</v>
      </c>
      <c r="Q10" s="168">
        <f t="shared" si="0"/>
        <v>1839.26</v>
      </c>
    </row>
    <row r="11" spans="2:17" ht="13" x14ac:dyDescent="0.3">
      <c r="B11" s="164" t="s">
        <v>225</v>
      </c>
      <c r="C11" s="169">
        <f t="shared" si="1"/>
        <v>2006.7799999999979</v>
      </c>
      <c r="D11" s="169">
        <v>2110.23</v>
      </c>
      <c r="E11" s="261">
        <v>0</v>
      </c>
      <c r="F11" s="169">
        <v>1506.08</v>
      </c>
      <c r="G11" s="169">
        <v>0</v>
      </c>
      <c r="H11" s="168">
        <f t="shared" si="2"/>
        <v>1402.6299999999978</v>
      </c>
      <c r="J11" s="31" t="s">
        <v>225</v>
      </c>
      <c r="K11" s="169">
        <v>0</v>
      </c>
      <c r="L11" s="169">
        <v>356.08</v>
      </c>
      <c r="M11" s="169">
        <v>1150</v>
      </c>
      <c r="N11" s="169">
        <v>0</v>
      </c>
      <c r="O11" s="169">
        <v>0</v>
      </c>
      <c r="P11" s="169">
        <v>0</v>
      </c>
      <c r="Q11" s="168">
        <f t="shared" si="0"/>
        <v>1506.08</v>
      </c>
    </row>
    <row r="12" spans="2:17" ht="13" x14ac:dyDescent="0.3">
      <c r="B12" s="164" t="s">
        <v>226</v>
      </c>
      <c r="C12" s="169">
        <f t="shared" si="1"/>
        <v>1402.6299999999978</v>
      </c>
      <c r="D12" s="169">
        <v>2611.33</v>
      </c>
      <c r="E12" s="261">
        <v>0</v>
      </c>
      <c r="F12" s="169">
        <v>317.37</v>
      </c>
      <c r="G12" s="169">
        <v>2000</v>
      </c>
      <c r="H12" s="171">
        <f t="shared" si="2"/>
        <v>1108.6699999999978</v>
      </c>
      <c r="J12" s="31" t="s">
        <v>226</v>
      </c>
      <c r="K12" s="169">
        <v>2000</v>
      </c>
      <c r="L12" s="169">
        <v>237.37</v>
      </c>
      <c r="M12" s="169">
        <v>80</v>
      </c>
      <c r="N12" s="169">
        <v>0</v>
      </c>
      <c r="O12" s="169">
        <v>0</v>
      </c>
      <c r="P12" s="169">
        <v>0</v>
      </c>
      <c r="Q12" s="168">
        <f t="shared" si="0"/>
        <v>2317.37</v>
      </c>
    </row>
    <row r="13" spans="2:17" ht="13" x14ac:dyDescent="0.3">
      <c r="B13" s="164" t="s">
        <v>237</v>
      </c>
      <c r="C13" s="169">
        <f>H12</f>
        <v>1108.6699999999978</v>
      </c>
      <c r="D13" s="169">
        <v>2558.9499999999998</v>
      </c>
      <c r="E13" s="261">
        <v>0</v>
      </c>
      <c r="F13" s="169">
        <v>511.46</v>
      </c>
      <c r="G13" s="169">
        <v>3000</v>
      </c>
      <c r="H13" s="171">
        <f t="shared" si="2"/>
        <v>2061.179999999998</v>
      </c>
      <c r="J13" s="31" t="s">
        <v>237</v>
      </c>
      <c r="K13" s="169">
        <v>3000</v>
      </c>
      <c r="L13" s="169">
        <v>71.459999999999994</v>
      </c>
      <c r="M13" s="169">
        <v>440</v>
      </c>
      <c r="N13" s="169">
        <v>0</v>
      </c>
      <c r="O13" s="169">
        <v>0</v>
      </c>
      <c r="P13" s="169">
        <v>0</v>
      </c>
      <c r="Q13" s="168">
        <f t="shared" si="0"/>
        <v>3511.46</v>
      </c>
    </row>
    <row r="14" spans="2:17" ht="13" x14ac:dyDescent="0.3">
      <c r="B14" s="164" t="s">
        <v>236</v>
      </c>
      <c r="C14" s="169">
        <f>H13</f>
        <v>2061.179999999998</v>
      </c>
      <c r="D14" s="169">
        <v>7173.82</v>
      </c>
      <c r="E14" s="261">
        <v>0</v>
      </c>
      <c r="F14" s="169">
        <v>704.62</v>
      </c>
      <c r="G14" s="169">
        <v>6000</v>
      </c>
      <c r="H14" s="171">
        <f t="shared" si="2"/>
        <v>1591.9799999999987</v>
      </c>
      <c r="J14" s="31" t="s">
        <v>236</v>
      </c>
      <c r="K14" s="169">
        <v>6000</v>
      </c>
      <c r="L14" s="169">
        <v>204.62</v>
      </c>
      <c r="M14" s="169">
        <v>0</v>
      </c>
      <c r="N14" s="169">
        <v>0</v>
      </c>
      <c r="O14" s="169">
        <v>500</v>
      </c>
      <c r="P14" s="169">
        <v>0</v>
      </c>
      <c r="Q14" s="168">
        <f t="shared" si="0"/>
        <v>6704.62</v>
      </c>
    </row>
    <row r="15" spans="2:17" ht="13" x14ac:dyDescent="0.3">
      <c r="B15" s="164" t="s">
        <v>227</v>
      </c>
      <c r="C15" s="169"/>
      <c r="D15" s="169"/>
      <c r="E15" s="261"/>
      <c r="F15" s="169"/>
      <c r="G15" s="169"/>
      <c r="H15" s="171"/>
      <c r="J15" s="31" t="s">
        <v>227</v>
      </c>
      <c r="K15" s="169"/>
      <c r="L15" s="169"/>
      <c r="M15" s="169"/>
      <c r="N15" s="169"/>
      <c r="O15" s="169"/>
      <c r="P15" s="169"/>
      <c r="Q15" s="168"/>
    </row>
    <row r="16" spans="2:17" ht="13" x14ac:dyDescent="0.3">
      <c r="B16" s="164" t="s">
        <v>228</v>
      </c>
      <c r="C16" s="169"/>
      <c r="D16" s="169"/>
      <c r="E16" s="261"/>
      <c r="F16" s="169"/>
      <c r="G16" s="169"/>
      <c r="H16" s="171"/>
      <c r="J16" s="31" t="s">
        <v>228</v>
      </c>
      <c r="K16" s="169"/>
      <c r="L16" s="169"/>
      <c r="M16" s="169"/>
      <c r="N16" s="169"/>
      <c r="O16" s="169"/>
      <c r="P16" s="169"/>
      <c r="Q16" s="168"/>
    </row>
    <row r="17" spans="2:17" ht="13.5" thickBot="1" x14ac:dyDescent="0.35">
      <c r="B17" s="165" t="s">
        <v>221</v>
      </c>
      <c r="C17" s="172"/>
      <c r="D17" s="172"/>
      <c r="E17" s="172"/>
      <c r="F17" s="172"/>
      <c r="G17" s="172"/>
      <c r="H17" s="173"/>
      <c r="J17" s="31" t="s">
        <v>221</v>
      </c>
      <c r="K17" s="169"/>
      <c r="L17" s="169"/>
      <c r="M17" s="169"/>
      <c r="N17" s="169"/>
      <c r="O17" s="169"/>
      <c r="P17" s="169"/>
      <c r="Q17" s="168"/>
    </row>
    <row r="18" spans="2:17" ht="13" x14ac:dyDescent="0.3">
      <c r="D18" s="219"/>
      <c r="E18" s="219"/>
      <c r="F18" s="219"/>
      <c r="G18" s="219"/>
      <c r="J18" s="31"/>
      <c r="K18" s="169"/>
      <c r="L18" s="169"/>
      <c r="M18" s="169"/>
      <c r="N18" s="169"/>
      <c r="O18" s="169"/>
      <c r="P18" s="169"/>
      <c r="Q18" s="168"/>
    </row>
    <row r="19" spans="2:17" ht="13.5" thickBot="1" x14ac:dyDescent="0.35">
      <c r="D19" s="219"/>
      <c r="F19" s="106"/>
      <c r="G19" s="106"/>
      <c r="J19" s="49" t="s">
        <v>232</v>
      </c>
      <c r="K19" s="174">
        <f>SUM(K6:K17)</f>
        <v>33500</v>
      </c>
      <c r="L19" s="174">
        <f>SUM(L6:L17)</f>
        <v>1452.69</v>
      </c>
      <c r="M19" s="174">
        <f t="shared" ref="M19:Q19" si="3">SUM(M6:M17)</f>
        <v>3113</v>
      </c>
      <c r="N19" s="174">
        <f t="shared" si="3"/>
        <v>0</v>
      </c>
      <c r="O19" s="174">
        <f t="shared" si="3"/>
        <v>1000</v>
      </c>
      <c r="P19" s="174">
        <f t="shared" si="3"/>
        <v>0</v>
      </c>
      <c r="Q19" s="268">
        <f t="shared" si="3"/>
        <v>39065.689999999995</v>
      </c>
    </row>
    <row r="20" spans="2:17" x14ac:dyDescent="0.25">
      <c r="F20" s="106"/>
    </row>
    <row r="22" spans="2:17" x14ac:dyDescent="0.25">
      <c r="L22" s="219"/>
      <c r="M22" s="10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1:V296"/>
  <sheetViews>
    <sheetView topLeftCell="A223" zoomScaleNormal="100" workbookViewId="0">
      <selection activeCell="L248" sqref="L248"/>
    </sheetView>
  </sheetViews>
  <sheetFormatPr defaultRowHeight="13" x14ac:dyDescent="0.3"/>
  <cols>
    <col min="1" max="1" width="1.44140625" customWidth="1"/>
    <col min="3" max="3" width="4" customWidth="1"/>
    <col min="4" max="4" width="11.21875" style="117" customWidth="1"/>
    <col min="5" max="5" width="60.5546875" customWidth="1"/>
    <col min="6" max="6" width="13.33203125" customWidth="1"/>
    <col min="7" max="7" width="10.6640625" style="222" customWidth="1"/>
    <col min="8" max="8" width="10.109375" style="222" customWidth="1"/>
    <col min="9" max="9" width="9.5546875" style="222" bestFit="1" customWidth="1"/>
    <col min="10" max="10" width="9.88671875" bestFit="1" customWidth="1"/>
    <col min="12" max="12" width="54.33203125" bestFit="1" customWidth="1"/>
    <col min="13" max="13" width="4.44140625" hidden="1" customWidth="1"/>
  </cols>
  <sheetData>
    <row r="1" spans="2:10" s="5" customFormat="1" hidden="1" x14ac:dyDescent="0.3">
      <c r="D1" s="113"/>
      <c r="F1" s="5" t="s">
        <v>64</v>
      </c>
      <c r="G1" s="221" t="s">
        <v>51</v>
      </c>
      <c r="H1" s="221" t="s">
        <v>52</v>
      </c>
      <c r="I1" s="221" t="s">
        <v>66</v>
      </c>
    </row>
    <row r="2" spans="2:10" hidden="1" x14ac:dyDescent="0.3">
      <c r="B2" s="6">
        <v>42461</v>
      </c>
      <c r="D2" s="363">
        <v>42468</v>
      </c>
      <c r="E2" s="1"/>
      <c r="F2">
        <v>92</v>
      </c>
      <c r="G2" s="222">
        <v>39.840000000000003</v>
      </c>
      <c r="J2" s="1">
        <v>42499</v>
      </c>
    </row>
    <row r="3" spans="2:10" hidden="1" x14ac:dyDescent="0.3">
      <c r="D3" s="363">
        <v>42468</v>
      </c>
      <c r="E3" s="1"/>
      <c r="F3">
        <v>94</v>
      </c>
      <c r="G3" s="222">
        <v>13.76</v>
      </c>
      <c r="J3" s="1">
        <v>42499</v>
      </c>
    </row>
    <row r="4" spans="2:10" s="5" customFormat="1" hidden="1" x14ac:dyDescent="0.3">
      <c r="D4" s="363">
        <v>42468</v>
      </c>
      <c r="E4" s="1"/>
      <c r="F4">
        <v>93</v>
      </c>
      <c r="G4" s="222">
        <v>35.04</v>
      </c>
      <c r="H4" s="221"/>
      <c r="I4" s="221"/>
      <c r="J4" s="1">
        <v>42499</v>
      </c>
    </row>
    <row r="5" spans="2:10" hidden="1" x14ac:dyDescent="0.3">
      <c r="D5" s="363">
        <v>42471</v>
      </c>
      <c r="E5" s="1"/>
      <c r="F5">
        <v>91</v>
      </c>
      <c r="G5" s="222">
        <v>63.2</v>
      </c>
      <c r="J5" s="1">
        <v>42499</v>
      </c>
    </row>
    <row r="6" spans="2:10" hidden="1" x14ac:dyDescent="0.3">
      <c r="D6" s="363">
        <v>42472</v>
      </c>
      <c r="E6" s="1"/>
      <c r="F6">
        <v>90</v>
      </c>
      <c r="G6" s="222">
        <v>33.44</v>
      </c>
      <c r="J6" s="1">
        <v>42499</v>
      </c>
    </row>
    <row r="7" spans="2:10" hidden="1" x14ac:dyDescent="0.3">
      <c r="D7" s="363">
        <v>42473</v>
      </c>
      <c r="E7" s="1"/>
      <c r="F7" t="s">
        <v>57</v>
      </c>
      <c r="G7" s="222">
        <v>630</v>
      </c>
      <c r="J7" s="1">
        <v>42499</v>
      </c>
    </row>
    <row r="8" spans="2:10" hidden="1" x14ac:dyDescent="0.3">
      <c r="D8" s="363">
        <v>42475</v>
      </c>
      <c r="E8" s="1"/>
      <c r="F8">
        <v>96</v>
      </c>
      <c r="G8" s="222">
        <v>446</v>
      </c>
      <c r="J8" s="1">
        <v>42499</v>
      </c>
    </row>
    <row r="9" spans="2:10" hidden="1" x14ac:dyDescent="0.3">
      <c r="D9" s="363">
        <v>42475</v>
      </c>
      <c r="E9" s="1"/>
      <c r="F9">
        <v>95</v>
      </c>
      <c r="G9" s="222">
        <v>8.8000000000000007</v>
      </c>
      <c r="J9" s="1">
        <v>42499</v>
      </c>
    </row>
    <row r="10" spans="2:10" hidden="1" x14ac:dyDescent="0.3">
      <c r="D10" s="363">
        <v>42475</v>
      </c>
      <c r="E10" s="1"/>
      <c r="F10" t="s">
        <v>65</v>
      </c>
      <c r="H10" s="222">
        <v>1000</v>
      </c>
      <c r="J10" s="1">
        <v>42499</v>
      </c>
    </row>
    <row r="11" spans="2:10" s="5" customFormat="1" hidden="1" x14ac:dyDescent="0.3">
      <c r="D11" s="364"/>
      <c r="E11" s="8"/>
      <c r="G11" s="221">
        <f>SUM(G2:G10)</f>
        <v>1270.08</v>
      </c>
      <c r="H11" s="221">
        <f>SUM(H2:H10)</f>
        <v>1000</v>
      </c>
      <c r="I11" s="221">
        <f>SUM(G11:H11)</f>
        <v>2270.08</v>
      </c>
    </row>
    <row r="12" spans="2:10" hidden="1" x14ac:dyDescent="0.3">
      <c r="B12" s="6">
        <v>42491</v>
      </c>
      <c r="D12" s="363">
        <v>42495</v>
      </c>
      <c r="E12" s="1"/>
      <c r="F12">
        <v>98</v>
      </c>
      <c r="G12" s="222">
        <v>20</v>
      </c>
      <c r="J12" s="1">
        <v>42528</v>
      </c>
    </row>
    <row r="13" spans="2:10" hidden="1" x14ac:dyDescent="0.3">
      <c r="D13" s="363">
        <v>42499</v>
      </c>
      <c r="E13" s="1"/>
      <c r="F13" t="s">
        <v>65</v>
      </c>
      <c r="H13" s="222">
        <v>1000</v>
      </c>
      <c r="J13" s="1">
        <v>42528</v>
      </c>
    </row>
    <row r="14" spans="2:10" hidden="1" x14ac:dyDescent="0.3">
      <c r="D14" s="363">
        <v>42501</v>
      </c>
      <c r="E14" s="1"/>
      <c r="F14">
        <v>100</v>
      </c>
      <c r="G14" s="222">
        <v>36.32</v>
      </c>
      <c r="J14" s="1">
        <v>42528</v>
      </c>
    </row>
    <row r="15" spans="2:10" hidden="1" x14ac:dyDescent="0.3">
      <c r="D15" s="363">
        <v>42508</v>
      </c>
      <c r="E15" s="1"/>
      <c r="F15">
        <v>101</v>
      </c>
      <c r="G15" s="222">
        <v>32</v>
      </c>
      <c r="J15" s="1">
        <v>42528</v>
      </c>
    </row>
    <row r="16" spans="2:10" hidden="1" x14ac:dyDescent="0.3">
      <c r="F16">
        <v>102</v>
      </c>
      <c r="G16" s="222">
        <v>16.8</v>
      </c>
      <c r="J16" s="1">
        <v>42528</v>
      </c>
    </row>
    <row r="17" spans="2:11" hidden="1" x14ac:dyDescent="0.3">
      <c r="D17" s="363">
        <v>42500</v>
      </c>
      <c r="E17" s="1"/>
      <c r="F17">
        <v>104</v>
      </c>
      <c r="G17" s="222">
        <v>12.64</v>
      </c>
      <c r="J17" s="1">
        <v>42528</v>
      </c>
    </row>
    <row r="18" spans="2:11" hidden="1" x14ac:dyDescent="0.3">
      <c r="D18" s="363">
        <v>42508</v>
      </c>
      <c r="E18" s="1"/>
      <c r="F18">
        <v>105</v>
      </c>
      <c r="G18" s="222">
        <v>17.600000000000001</v>
      </c>
      <c r="J18" s="1">
        <v>42528</v>
      </c>
    </row>
    <row r="19" spans="2:11" hidden="1" x14ac:dyDescent="0.3">
      <c r="D19" s="363">
        <v>42508</v>
      </c>
      <c r="E19" s="1"/>
      <c r="F19">
        <v>106</v>
      </c>
      <c r="G19" s="222">
        <v>17.920000000000002</v>
      </c>
      <c r="J19" s="1">
        <v>42528</v>
      </c>
    </row>
    <row r="20" spans="2:11" hidden="1" x14ac:dyDescent="0.3">
      <c r="D20" s="363">
        <v>42506</v>
      </c>
      <c r="E20" s="1"/>
      <c r="F20" t="s">
        <v>65</v>
      </c>
      <c r="H20" s="222">
        <v>8000</v>
      </c>
      <c r="J20" s="1">
        <v>42528</v>
      </c>
    </row>
    <row r="21" spans="2:11" s="5" customFormat="1" hidden="1" x14ac:dyDescent="0.3">
      <c r="D21" s="113"/>
      <c r="G21" s="221">
        <f>SUM(G12:G20)</f>
        <v>153.27999999999997</v>
      </c>
      <c r="H21" s="221">
        <f>SUM(H12:H20)</f>
        <v>9000</v>
      </c>
      <c r="I21" s="221">
        <f>SUM(G21:H21)</f>
        <v>9153.2800000000007</v>
      </c>
    </row>
    <row r="22" spans="2:11" hidden="1" x14ac:dyDescent="0.3">
      <c r="B22" s="6">
        <v>42522</v>
      </c>
      <c r="D22" s="363">
        <v>42522</v>
      </c>
      <c r="E22" s="1"/>
      <c r="F22">
        <v>107</v>
      </c>
      <c r="G22" s="222">
        <v>70</v>
      </c>
    </row>
    <row r="23" spans="2:11" hidden="1" x14ac:dyDescent="0.3">
      <c r="B23" s="6"/>
      <c r="D23" s="363">
        <v>42528</v>
      </c>
      <c r="E23" s="1"/>
      <c r="H23" s="222">
        <v>3000</v>
      </c>
    </row>
    <row r="24" spans="2:11" hidden="1" x14ac:dyDescent="0.3">
      <c r="D24" s="363">
        <v>42529</v>
      </c>
      <c r="E24" s="1"/>
      <c r="G24" s="222">
        <v>147.68</v>
      </c>
    </row>
    <row r="25" spans="2:11" s="5" customFormat="1" hidden="1" x14ac:dyDescent="0.3">
      <c r="D25" s="363">
        <v>42530</v>
      </c>
      <c r="E25" s="1"/>
      <c r="F25">
        <v>109</v>
      </c>
      <c r="G25" s="222">
        <v>24</v>
      </c>
      <c r="H25" s="222"/>
      <c r="I25" s="222"/>
      <c r="J25"/>
      <c r="K25"/>
    </row>
    <row r="26" spans="2:11" s="5" customFormat="1" hidden="1" x14ac:dyDescent="0.3">
      <c r="D26" s="363">
        <v>42531</v>
      </c>
      <c r="E26" s="1"/>
      <c r="F26">
        <v>110</v>
      </c>
      <c r="G26" s="222">
        <v>40</v>
      </c>
      <c r="H26" s="222"/>
      <c r="I26" s="222"/>
      <c r="J26"/>
      <c r="K26"/>
    </row>
    <row r="27" spans="2:11" hidden="1" x14ac:dyDescent="0.3">
      <c r="D27" s="363">
        <v>42535</v>
      </c>
      <c r="E27" s="1"/>
      <c r="F27">
        <v>111</v>
      </c>
      <c r="G27" s="222">
        <v>24</v>
      </c>
    </row>
    <row r="28" spans="2:11" s="5" customFormat="1" hidden="1" x14ac:dyDescent="0.3">
      <c r="D28" s="363">
        <v>42537</v>
      </c>
      <c r="E28" s="1"/>
      <c r="F28">
        <v>116</v>
      </c>
      <c r="G28" s="222">
        <v>75</v>
      </c>
      <c r="H28" s="222"/>
      <c r="I28" s="222"/>
      <c r="J28"/>
      <c r="K28"/>
    </row>
    <row r="29" spans="2:11" s="5" customFormat="1" hidden="1" x14ac:dyDescent="0.3">
      <c r="D29" s="363">
        <v>42537</v>
      </c>
      <c r="E29" s="1"/>
      <c r="F29">
        <v>112</v>
      </c>
      <c r="G29" s="222">
        <v>8</v>
      </c>
      <c r="H29" s="222"/>
      <c r="I29" s="222"/>
      <c r="J29"/>
      <c r="K29"/>
    </row>
    <row r="30" spans="2:11" hidden="1" x14ac:dyDescent="0.3">
      <c r="D30" s="363">
        <v>42541</v>
      </c>
      <c r="E30" s="1"/>
      <c r="F30">
        <v>114</v>
      </c>
      <c r="G30" s="222">
        <v>70.88</v>
      </c>
    </row>
    <row r="31" spans="2:11" hidden="1" x14ac:dyDescent="0.3">
      <c r="D31" s="363">
        <v>42541</v>
      </c>
      <c r="E31" s="1"/>
      <c r="F31">
        <v>113</v>
      </c>
      <c r="G31" s="222">
        <v>24.8</v>
      </c>
    </row>
    <row r="32" spans="2:11" hidden="1" x14ac:dyDescent="0.3">
      <c r="D32" s="363">
        <v>42541</v>
      </c>
      <c r="E32" s="1"/>
      <c r="F32">
        <v>115</v>
      </c>
      <c r="G32" s="222">
        <v>9.92</v>
      </c>
    </row>
    <row r="33" spans="2:11" s="5" customFormat="1" hidden="1" x14ac:dyDescent="0.3">
      <c r="D33" s="363">
        <v>42548</v>
      </c>
      <c r="E33" s="1"/>
      <c r="F33">
        <v>108</v>
      </c>
      <c r="G33" s="222">
        <v>16.16</v>
      </c>
      <c r="H33" s="222"/>
      <c r="I33" s="222"/>
      <c r="J33"/>
      <c r="K33"/>
    </row>
    <row r="34" spans="2:11" s="5" customFormat="1" hidden="1" x14ac:dyDescent="0.3">
      <c r="D34" s="363">
        <v>42548</v>
      </c>
      <c r="E34" s="1"/>
      <c r="F34">
        <v>117</v>
      </c>
      <c r="G34" s="222">
        <v>20</v>
      </c>
      <c r="H34" s="222"/>
      <c r="I34" s="222"/>
      <c r="J34"/>
      <c r="K34"/>
    </row>
    <row r="35" spans="2:11" s="5" customFormat="1" hidden="1" x14ac:dyDescent="0.3">
      <c r="D35" s="364"/>
      <c r="E35" s="8"/>
      <c r="G35" s="221">
        <f>SUM(G22:G34)</f>
        <v>530.44000000000005</v>
      </c>
      <c r="H35" s="221">
        <v>3000</v>
      </c>
      <c r="I35" s="221">
        <f>SUM(G35:H35)</f>
        <v>3530.44</v>
      </c>
    </row>
    <row r="36" spans="2:11" hidden="1" x14ac:dyDescent="0.3">
      <c r="B36" s="6">
        <v>42552</v>
      </c>
      <c r="D36" s="363">
        <v>42556</v>
      </c>
      <c r="E36" s="1"/>
      <c r="F36" s="5"/>
      <c r="H36" s="222">
        <v>2000</v>
      </c>
    </row>
    <row r="37" spans="2:11" s="5" customFormat="1" hidden="1" x14ac:dyDescent="0.3">
      <c r="D37" s="363">
        <v>42557</v>
      </c>
      <c r="E37" s="1"/>
      <c r="F37">
        <v>124</v>
      </c>
      <c r="G37" s="222">
        <v>13.76</v>
      </c>
      <c r="H37" s="221"/>
      <c r="I37" s="221"/>
    </row>
    <row r="38" spans="2:11" s="5" customFormat="1" hidden="1" x14ac:dyDescent="0.3">
      <c r="D38" s="117"/>
      <c r="E38"/>
      <c r="F38">
        <v>125</v>
      </c>
      <c r="G38" s="222">
        <v>8.32</v>
      </c>
      <c r="H38" s="221"/>
      <c r="I38" s="221"/>
    </row>
    <row r="39" spans="2:11" hidden="1" x14ac:dyDescent="0.3">
      <c r="D39" s="363">
        <v>42562</v>
      </c>
      <c r="E39" s="1"/>
      <c r="F39">
        <v>119</v>
      </c>
      <c r="G39" s="222">
        <v>32</v>
      </c>
    </row>
    <row r="40" spans="2:11" hidden="1" x14ac:dyDescent="0.3">
      <c r="D40" s="363">
        <v>42565</v>
      </c>
      <c r="E40" s="1"/>
      <c r="F40">
        <v>118</v>
      </c>
      <c r="G40" s="222">
        <v>40</v>
      </c>
    </row>
    <row r="41" spans="2:11" hidden="1" x14ac:dyDescent="0.3">
      <c r="D41" s="363">
        <v>42566</v>
      </c>
      <c r="E41" s="1"/>
      <c r="F41">
        <v>122</v>
      </c>
      <c r="G41" s="222">
        <v>16</v>
      </c>
    </row>
    <row r="42" spans="2:11" hidden="1" x14ac:dyDescent="0.3">
      <c r="D42" s="363"/>
      <c r="E42" s="1"/>
      <c r="F42">
        <v>126</v>
      </c>
      <c r="G42" s="222">
        <v>168</v>
      </c>
    </row>
    <row r="43" spans="2:11" hidden="1" x14ac:dyDescent="0.3">
      <c r="D43" s="363"/>
      <c r="E43" s="1"/>
      <c r="F43">
        <v>121</v>
      </c>
      <c r="G43" s="222">
        <v>8</v>
      </c>
    </row>
    <row r="44" spans="2:11" hidden="1" x14ac:dyDescent="0.3">
      <c r="D44" s="363">
        <v>42569</v>
      </c>
      <c r="E44" s="1"/>
      <c r="F44">
        <v>120</v>
      </c>
      <c r="G44" s="222">
        <v>32</v>
      </c>
    </row>
    <row r="45" spans="2:11" hidden="1" x14ac:dyDescent="0.3">
      <c r="D45" s="363">
        <v>42570</v>
      </c>
      <c r="E45" s="1"/>
      <c r="F45">
        <v>123</v>
      </c>
      <c r="G45" s="222">
        <v>80</v>
      </c>
    </row>
    <row r="46" spans="2:11" hidden="1" x14ac:dyDescent="0.3">
      <c r="D46" s="363"/>
      <c r="E46" s="1"/>
      <c r="G46" s="221">
        <f>SUM(G36:G45)</f>
        <v>398.08</v>
      </c>
      <c r="H46" s="221">
        <f>SUM(H36:H45)</f>
        <v>2000</v>
      </c>
      <c r="I46" s="221">
        <f>SUM(G46:H46)</f>
        <v>2398.08</v>
      </c>
    </row>
    <row r="47" spans="2:11" hidden="1" x14ac:dyDescent="0.3">
      <c r="B47" s="6">
        <v>42583</v>
      </c>
      <c r="D47" s="363">
        <v>42591</v>
      </c>
      <c r="E47" s="1"/>
      <c r="F47">
        <v>127</v>
      </c>
      <c r="G47" s="222">
        <v>32</v>
      </c>
    </row>
    <row r="48" spans="2:11" s="5" customFormat="1" hidden="1" x14ac:dyDescent="0.3">
      <c r="D48" s="363">
        <v>42591</v>
      </c>
      <c r="E48" s="1"/>
      <c r="F48">
        <v>128</v>
      </c>
      <c r="G48" s="222">
        <v>16</v>
      </c>
      <c r="H48" s="221"/>
      <c r="I48" s="221"/>
    </row>
    <row r="49" spans="2:10" s="5" customFormat="1" hidden="1" x14ac:dyDescent="0.3">
      <c r="D49" s="363">
        <v>42606</v>
      </c>
      <c r="E49" s="1"/>
      <c r="F49">
        <v>129</v>
      </c>
      <c r="G49" s="222">
        <v>16.16</v>
      </c>
      <c r="H49" s="221"/>
      <c r="I49" s="221"/>
    </row>
    <row r="50" spans="2:10" hidden="1" x14ac:dyDescent="0.3">
      <c r="D50" s="363">
        <v>42604</v>
      </c>
      <c r="E50" s="1"/>
      <c r="F50">
        <v>130</v>
      </c>
      <c r="G50" s="222">
        <v>24.8</v>
      </c>
    </row>
    <row r="51" spans="2:10" hidden="1" x14ac:dyDescent="0.3">
      <c r="D51" s="363">
        <v>42583</v>
      </c>
      <c r="E51" s="1"/>
      <c r="F51">
        <v>131</v>
      </c>
      <c r="G51" s="222">
        <v>8.48</v>
      </c>
    </row>
    <row r="52" spans="2:10" hidden="1" x14ac:dyDescent="0.3">
      <c r="D52" s="363">
        <v>42585</v>
      </c>
      <c r="E52" s="1"/>
      <c r="F52">
        <v>133</v>
      </c>
      <c r="G52" s="222">
        <v>181</v>
      </c>
    </row>
    <row r="53" spans="2:10" hidden="1" x14ac:dyDescent="0.3">
      <c r="D53" s="363">
        <v>42604</v>
      </c>
      <c r="E53" s="1"/>
      <c r="F53">
        <v>135</v>
      </c>
      <c r="G53" s="222">
        <v>20</v>
      </c>
    </row>
    <row r="54" spans="2:10" hidden="1" x14ac:dyDescent="0.3">
      <c r="D54" s="363">
        <v>42603</v>
      </c>
      <c r="E54" s="1"/>
      <c r="F54">
        <v>136</v>
      </c>
      <c r="G54" s="222">
        <v>84</v>
      </c>
    </row>
    <row r="55" spans="2:10" hidden="1" x14ac:dyDescent="0.3">
      <c r="D55" s="363"/>
      <c r="E55" s="1"/>
      <c r="G55" s="221">
        <f>SUM(G47:G54)</f>
        <v>382.44</v>
      </c>
      <c r="H55" s="221">
        <v>0</v>
      </c>
      <c r="I55" s="221">
        <f>SUM(G55:H55)</f>
        <v>382.44</v>
      </c>
    </row>
    <row r="56" spans="2:10" hidden="1" x14ac:dyDescent="0.3">
      <c r="B56" s="6">
        <v>42614</v>
      </c>
      <c r="D56" s="363">
        <v>42627</v>
      </c>
      <c r="E56" s="1"/>
      <c r="F56">
        <v>138</v>
      </c>
      <c r="G56" s="222">
        <v>40</v>
      </c>
      <c r="H56" s="222">
        <v>1500</v>
      </c>
      <c r="J56" s="1">
        <v>42646</v>
      </c>
    </row>
    <row r="57" spans="2:10" hidden="1" x14ac:dyDescent="0.3">
      <c r="D57" s="363">
        <v>42627</v>
      </c>
      <c r="E57" s="1"/>
      <c r="F57">
        <v>140</v>
      </c>
      <c r="G57" s="222">
        <v>288.93</v>
      </c>
      <c r="J57" s="1">
        <v>42646</v>
      </c>
    </row>
    <row r="58" spans="2:10" hidden="1" x14ac:dyDescent="0.3">
      <c r="D58" s="363"/>
      <c r="E58" s="1"/>
      <c r="G58" s="221">
        <f>SUM(G56:G57)</f>
        <v>328.93</v>
      </c>
      <c r="H58" s="221">
        <v>1500</v>
      </c>
      <c r="I58" s="221">
        <f>SUM(G58:H58)</f>
        <v>1828.93</v>
      </c>
    </row>
    <row r="59" spans="2:10" hidden="1" x14ac:dyDescent="0.3">
      <c r="B59" s="6">
        <v>42644</v>
      </c>
      <c r="D59" s="363">
        <v>42664</v>
      </c>
      <c r="E59" s="1"/>
      <c r="F59">
        <v>139</v>
      </c>
      <c r="G59" s="222">
        <v>437.5</v>
      </c>
      <c r="J59" s="1">
        <v>42675</v>
      </c>
    </row>
    <row r="60" spans="2:10" hidden="1" x14ac:dyDescent="0.3">
      <c r="F60">
        <v>137</v>
      </c>
      <c r="G60" s="222">
        <v>8.16</v>
      </c>
      <c r="J60" s="1">
        <v>42675</v>
      </c>
    </row>
    <row r="61" spans="2:10" hidden="1" x14ac:dyDescent="0.3">
      <c r="F61">
        <v>132</v>
      </c>
      <c r="G61" s="222">
        <v>8</v>
      </c>
      <c r="J61" s="1">
        <v>42675</v>
      </c>
    </row>
    <row r="62" spans="2:10" hidden="1" x14ac:dyDescent="0.3">
      <c r="D62" s="363">
        <v>42646</v>
      </c>
      <c r="E62" s="1"/>
      <c r="F62">
        <v>143</v>
      </c>
      <c r="G62" s="222">
        <v>29.12</v>
      </c>
      <c r="J62" s="1">
        <v>42675</v>
      </c>
    </row>
    <row r="63" spans="2:10" hidden="1" x14ac:dyDescent="0.3">
      <c r="D63" s="363">
        <v>42646</v>
      </c>
      <c r="E63" s="1"/>
      <c r="F63">
        <v>144</v>
      </c>
      <c r="G63" s="222">
        <v>43.36</v>
      </c>
      <c r="J63" s="1">
        <v>42675</v>
      </c>
    </row>
    <row r="64" spans="2:10" hidden="1" x14ac:dyDescent="0.3">
      <c r="D64" s="363">
        <v>42646</v>
      </c>
      <c r="E64" s="1"/>
      <c r="F64">
        <v>145</v>
      </c>
      <c r="G64" s="222">
        <v>24</v>
      </c>
      <c r="J64" s="1">
        <v>42675</v>
      </c>
    </row>
    <row r="65" spans="2:10" hidden="1" x14ac:dyDescent="0.3">
      <c r="D65" s="363">
        <v>42646</v>
      </c>
      <c r="E65" s="1"/>
      <c r="F65">
        <v>146</v>
      </c>
      <c r="G65" s="222">
        <v>27.12</v>
      </c>
      <c r="J65" s="1">
        <v>42675</v>
      </c>
    </row>
    <row r="66" spans="2:10" s="5" customFormat="1" hidden="1" x14ac:dyDescent="0.3">
      <c r="D66" s="363">
        <v>42646</v>
      </c>
      <c r="E66" s="1"/>
      <c r="F66">
        <v>149</v>
      </c>
      <c r="G66" s="222">
        <v>20.96</v>
      </c>
      <c r="H66" s="221"/>
      <c r="I66" s="221"/>
      <c r="J66" s="1">
        <v>42675</v>
      </c>
    </row>
    <row r="67" spans="2:10" hidden="1" x14ac:dyDescent="0.3">
      <c r="D67" s="363">
        <v>42646</v>
      </c>
      <c r="E67" s="1"/>
      <c r="F67">
        <v>150</v>
      </c>
      <c r="G67" s="222">
        <v>16.16</v>
      </c>
      <c r="J67" s="1">
        <v>42675</v>
      </c>
    </row>
    <row r="68" spans="2:10" hidden="1" x14ac:dyDescent="0.3">
      <c r="D68" s="363">
        <v>42646</v>
      </c>
      <c r="E68" s="1"/>
      <c r="F68">
        <v>151</v>
      </c>
      <c r="G68" s="222">
        <v>20.48</v>
      </c>
      <c r="J68" s="1">
        <v>42675</v>
      </c>
    </row>
    <row r="69" spans="2:10" hidden="1" x14ac:dyDescent="0.3">
      <c r="D69" s="363">
        <v>42646</v>
      </c>
      <c r="E69" s="1"/>
      <c r="F69">
        <v>152</v>
      </c>
      <c r="G69" s="222">
        <v>8.9600000000000009</v>
      </c>
      <c r="J69" s="1">
        <v>42675</v>
      </c>
    </row>
    <row r="70" spans="2:10" hidden="1" x14ac:dyDescent="0.3">
      <c r="D70" s="363">
        <v>42646</v>
      </c>
      <c r="E70" s="1"/>
      <c r="F70">
        <v>153</v>
      </c>
      <c r="G70" s="222">
        <v>13.44</v>
      </c>
      <c r="J70" s="1">
        <v>42675</v>
      </c>
    </row>
    <row r="71" spans="2:10" hidden="1" x14ac:dyDescent="0.3">
      <c r="D71" s="363">
        <v>42646</v>
      </c>
      <c r="E71" s="1"/>
      <c r="F71">
        <v>154</v>
      </c>
      <c r="G71" s="222">
        <v>18.88</v>
      </c>
      <c r="J71" s="1">
        <v>42675</v>
      </c>
    </row>
    <row r="72" spans="2:10" hidden="1" x14ac:dyDescent="0.3">
      <c r="D72" s="363">
        <v>42649</v>
      </c>
      <c r="E72" s="1"/>
      <c r="H72" s="222">
        <v>2000</v>
      </c>
      <c r="J72" s="1">
        <v>42675</v>
      </c>
    </row>
    <row r="73" spans="2:10" s="5" customFormat="1" hidden="1" x14ac:dyDescent="0.3">
      <c r="D73" s="113"/>
      <c r="G73" s="221">
        <f>SUM(G59:G72)</f>
        <v>676.1400000000001</v>
      </c>
      <c r="H73" s="221">
        <f>SUM(H59:H72)</f>
        <v>2000</v>
      </c>
      <c r="I73" s="221">
        <f>SUM(G73:H73)</f>
        <v>2676.1400000000003</v>
      </c>
    </row>
    <row r="74" spans="2:10" hidden="1" x14ac:dyDescent="0.3">
      <c r="B74" s="6">
        <v>42675</v>
      </c>
      <c r="D74" s="363">
        <v>42676</v>
      </c>
      <c r="E74" s="1"/>
      <c r="G74" s="222">
        <v>262</v>
      </c>
      <c r="J74" s="1">
        <v>42709</v>
      </c>
    </row>
    <row r="75" spans="2:10" hidden="1" x14ac:dyDescent="0.3">
      <c r="D75" s="363">
        <v>42678</v>
      </c>
      <c r="E75" s="1"/>
      <c r="G75" s="222">
        <v>40.96</v>
      </c>
      <c r="J75" s="1">
        <v>42709</v>
      </c>
    </row>
    <row r="76" spans="2:10" hidden="1" x14ac:dyDescent="0.3">
      <c r="D76" s="363">
        <v>42679</v>
      </c>
      <c r="E76" s="1"/>
      <c r="G76" s="222">
        <v>9.2799999999999994</v>
      </c>
      <c r="J76" s="1">
        <v>42709</v>
      </c>
    </row>
    <row r="77" spans="2:10" hidden="1" x14ac:dyDescent="0.3">
      <c r="D77" s="363">
        <v>42683</v>
      </c>
      <c r="E77" s="1"/>
      <c r="G77" s="222">
        <v>29</v>
      </c>
      <c r="J77" s="1">
        <v>42709</v>
      </c>
    </row>
    <row r="78" spans="2:10" hidden="1" x14ac:dyDescent="0.3">
      <c r="D78" s="363">
        <v>42685</v>
      </c>
      <c r="E78" s="1"/>
      <c r="G78" s="222">
        <v>32</v>
      </c>
      <c r="J78" s="1">
        <v>42709</v>
      </c>
    </row>
    <row r="79" spans="2:10" hidden="1" x14ac:dyDescent="0.3">
      <c r="D79" s="363">
        <v>42685</v>
      </c>
      <c r="E79" s="1"/>
      <c r="G79" s="222">
        <v>24.96</v>
      </c>
      <c r="J79" s="1">
        <v>42709</v>
      </c>
    </row>
    <row r="80" spans="2:10" hidden="1" x14ac:dyDescent="0.3">
      <c r="D80" s="363">
        <v>42691</v>
      </c>
      <c r="E80" s="1"/>
      <c r="G80" s="222">
        <v>76.64</v>
      </c>
      <c r="J80" s="1">
        <v>42709</v>
      </c>
    </row>
    <row r="81" spans="2:10" hidden="1" x14ac:dyDescent="0.3">
      <c r="D81" s="363">
        <v>42697</v>
      </c>
      <c r="E81" s="1"/>
      <c r="G81" s="222">
        <v>485</v>
      </c>
      <c r="J81" s="1">
        <v>42709</v>
      </c>
    </row>
    <row r="82" spans="2:10" hidden="1" x14ac:dyDescent="0.3">
      <c r="D82" s="363">
        <v>42704</v>
      </c>
      <c r="E82" s="1"/>
      <c r="G82" s="222">
        <v>32.159999999999997</v>
      </c>
      <c r="J82" s="1">
        <v>42709</v>
      </c>
    </row>
    <row r="83" spans="2:10" hidden="1" x14ac:dyDescent="0.3">
      <c r="G83" s="221">
        <f>SUM(G74:G82)</f>
        <v>991.99999999999989</v>
      </c>
      <c r="H83" s="221"/>
      <c r="I83" s="221"/>
      <c r="J83" s="1"/>
    </row>
    <row r="84" spans="2:10" hidden="1" x14ac:dyDescent="0.3">
      <c r="B84" s="6">
        <v>42705</v>
      </c>
      <c r="D84" s="363">
        <v>42709</v>
      </c>
      <c r="E84" s="1"/>
      <c r="H84" s="222">
        <v>1500</v>
      </c>
      <c r="J84" s="1">
        <v>42738</v>
      </c>
    </row>
    <row r="85" spans="2:10" hidden="1" x14ac:dyDescent="0.3">
      <c r="G85" s="222">
        <v>8.48</v>
      </c>
      <c r="J85" s="1">
        <v>42738</v>
      </c>
    </row>
    <row r="86" spans="2:10" hidden="1" x14ac:dyDescent="0.3">
      <c r="G86" s="222">
        <v>65.92</v>
      </c>
      <c r="J86" s="1">
        <v>42738</v>
      </c>
    </row>
    <row r="87" spans="2:10" hidden="1" x14ac:dyDescent="0.3">
      <c r="G87" s="222">
        <v>54.88</v>
      </c>
      <c r="J87" s="1">
        <v>42738</v>
      </c>
    </row>
    <row r="88" spans="2:10" hidden="1" x14ac:dyDescent="0.3">
      <c r="D88" s="363">
        <v>42718</v>
      </c>
      <c r="E88" s="1"/>
      <c r="G88" s="222">
        <v>20</v>
      </c>
      <c r="J88" s="1">
        <v>42738</v>
      </c>
    </row>
    <row r="89" spans="2:10" hidden="1" x14ac:dyDescent="0.3">
      <c r="H89" s="222">
        <v>20000</v>
      </c>
      <c r="J89" s="1">
        <v>42738</v>
      </c>
    </row>
    <row r="90" spans="2:10" hidden="1" x14ac:dyDescent="0.3">
      <c r="G90" s="222">
        <v>12.32</v>
      </c>
      <c r="J90" s="1">
        <v>42738</v>
      </c>
    </row>
    <row r="91" spans="2:10" hidden="1" x14ac:dyDescent="0.3">
      <c r="G91" s="221">
        <f>SUM(G84:G90)</f>
        <v>161.6</v>
      </c>
      <c r="H91" s="221">
        <f>SUM(H84:H90)</f>
        <v>21500</v>
      </c>
      <c r="I91" s="221">
        <f>SUM(G91:H91)</f>
        <v>21661.599999999999</v>
      </c>
    </row>
    <row r="92" spans="2:10" hidden="1" x14ac:dyDescent="0.3">
      <c r="B92" s="6">
        <v>42736</v>
      </c>
      <c r="G92" s="222">
        <v>24.48</v>
      </c>
      <c r="J92" s="1">
        <v>42768</v>
      </c>
    </row>
    <row r="93" spans="2:10" hidden="1" x14ac:dyDescent="0.3">
      <c r="G93" s="222">
        <v>19.36</v>
      </c>
      <c r="J93" s="1">
        <v>42768</v>
      </c>
    </row>
    <row r="94" spans="2:10" hidden="1" x14ac:dyDescent="0.3">
      <c r="G94" s="222">
        <v>16.8</v>
      </c>
      <c r="J94" s="1">
        <v>42768</v>
      </c>
    </row>
    <row r="95" spans="2:10" hidden="1" x14ac:dyDescent="0.3">
      <c r="G95" s="222">
        <v>69.28</v>
      </c>
      <c r="J95" s="1">
        <v>42768</v>
      </c>
    </row>
    <row r="96" spans="2:10" hidden="1" x14ac:dyDescent="0.3">
      <c r="H96" s="222">
        <v>2500</v>
      </c>
      <c r="J96" s="1">
        <v>42768</v>
      </c>
    </row>
    <row r="97" spans="2:9" hidden="1" x14ac:dyDescent="0.3">
      <c r="G97" s="221">
        <f>SUM(G92:G96)</f>
        <v>129.92000000000002</v>
      </c>
      <c r="H97" s="221">
        <f>SUM(H92:H96)</f>
        <v>2500</v>
      </c>
      <c r="I97" s="221">
        <f>SUM(G97:H97)</f>
        <v>2629.92</v>
      </c>
    </row>
    <row r="98" spans="2:9" hidden="1" x14ac:dyDescent="0.3">
      <c r="B98" s="6">
        <v>42767</v>
      </c>
      <c r="F98">
        <v>181</v>
      </c>
      <c r="G98" s="222">
        <v>51.52</v>
      </c>
    </row>
    <row r="99" spans="2:9" hidden="1" x14ac:dyDescent="0.3">
      <c r="F99">
        <v>183</v>
      </c>
      <c r="G99" s="222">
        <v>16.16</v>
      </c>
    </row>
    <row r="100" spans="2:9" hidden="1" x14ac:dyDescent="0.3">
      <c r="F100">
        <v>185</v>
      </c>
      <c r="G100" s="222">
        <v>40</v>
      </c>
    </row>
    <row r="101" spans="2:9" hidden="1" x14ac:dyDescent="0.3">
      <c r="F101">
        <v>180</v>
      </c>
      <c r="G101" s="222">
        <v>43.68</v>
      </c>
    </row>
    <row r="102" spans="2:9" hidden="1" x14ac:dyDescent="0.3">
      <c r="G102" s="222">
        <v>318.14999999999998</v>
      </c>
    </row>
    <row r="103" spans="2:9" hidden="1" x14ac:dyDescent="0.3">
      <c r="F103">
        <v>187</v>
      </c>
      <c r="G103" s="222">
        <v>20</v>
      </c>
    </row>
    <row r="104" spans="2:9" hidden="1" x14ac:dyDescent="0.3">
      <c r="F104">
        <v>184</v>
      </c>
      <c r="G104" s="222">
        <v>13</v>
      </c>
    </row>
    <row r="105" spans="2:9" hidden="1" x14ac:dyDescent="0.3">
      <c r="F105">
        <v>188</v>
      </c>
      <c r="G105" s="222">
        <v>263</v>
      </c>
    </row>
    <row r="106" spans="2:9" hidden="1" x14ac:dyDescent="0.3">
      <c r="G106" s="222">
        <f>SUM(G98:G105)</f>
        <v>765.51</v>
      </c>
      <c r="H106" s="222">
        <v>0</v>
      </c>
      <c r="I106" s="222">
        <f>SUM(G106:H106)</f>
        <v>765.51</v>
      </c>
    </row>
    <row r="107" spans="2:9" hidden="1" x14ac:dyDescent="0.3">
      <c r="B107" s="6">
        <v>42795</v>
      </c>
      <c r="F107">
        <v>190</v>
      </c>
      <c r="G107" s="222">
        <v>73.44</v>
      </c>
    </row>
    <row r="108" spans="2:9" hidden="1" x14ac:dyDescent="0.3">
      <c r="F108">
        <v>194</v>
      </c>
      <c r="G108" s="222">
        <v>22.56</v>
      </c>
    </row>
    <row r="109" spans="2:9" hidden="1" x14ac:dyDescent="0.3">
      <c r="F109" t="s">
        <v>157</v>
      </c>
      <c r="G109" s="222">
        <v>39.04</v>
      </c>
    </row>
    <row r="110" spans="2:9" hidden="1" x14ac:dyDescent="0.3">
      <c r="F110">
        <v>191</v>
      </c>
      <c r="G110" s="222">
        <v>58.72</v>
      </c>
    </row>
    <row r="111" spans="2:9" hidden="1" x14ac:dyDescent="0.3">
      <c r="F111">
        <v>193</v>
      </c>
      <c r="G111" s="222">
        <v>18.52</v>
      </c>
    </row>
    <row r="112" spans="2:9" hidden="1" x14ac:dyDescent="0.3">
      <c r="F112" t="s">
        <v>158</v>
      </c>
      <c r="G112" s="222">
        <v>60.32</v>
      </c>
    </row>
    <row r="113" spans="2:9" hidden="1" x14ac:dyDescent="0.3">
      <c r="F113">
        <v>192</v>
      </c>
      <c r="G113" s="222">
        <v>73.12</v>
      </c>
    </row>
    <row r="114" spans="2:9" hidden="1" x14ac:dyDescent="0.3">
      <c r="F114">
        <v>197</v>
      </c>
      <c r="G114" s="222">
        <v>14.24</v>
      </c>
    </row>
    <row r="115" spans="2:9" hidden="1" x14ac:dyDescent="0.3">
      <c r="G115" s="222">
        <f>SUM(G107:G114)</f>
        <v>359.96000000000004</v>
      </c>
    </row>
    <row r="116" spans="2:9" hidden="1" x14ac:dyDescent="0.3"/>
    <row r="117" spans="2:9" s="13" customFormat="1" hidden="1" x14ac:dyDescent="0.3">
      <c r="D117" s="119"/>
      <c r="G117" s="223"/>
      <c r="H117" s="223"/>
      <c r="I117" s="223"/>
    </row>
    <row r="118" spans="2:9" hidden="1" x14ac:dyDescent="0.3"/>
    <row r="119" spans="2:9" hidden="1" x14ac:dyDescent="0.3">
      <c r="D119" s="117" t="s">
        <v>0</v>
      </c>
      <c r="F119" s="5" t="s">
        <v>64</v>
      </c>
      <c r="G119" s="221" t="s">
        <v>51</v>
      </c>
      <c r="H119" s="221" t="s">
        <v>52</v>
      </c>
      <c r="I119" s="221" t="s">
        <v>66</v>
      </c>
    </row>
    <row r="120" spans="2:9" hidden="1" x14ac:dyDescent="0.3"/>
    <row r="121" spans="2:9" hidden="1" x14ac:dyDescent="0.3">
      <c r="B121" t="s">
        <v>5</v>
      </c>
      <c r="D121" s="363">
        <v>42828</v>
      </c>
      <c r="E121" s="1"/>
      <c r="F121">
        <v>207</v>
      </c>
      <c r="G121" s="222">
        <v>13.6</v>
      </c>
    </row>
    <row r="122" spans="2:9" hidden="1" x14ac:dyDescent="0.3">
      <c r="F122">
        <v>148</v>
      </c>
      <c r="G122" s="222">
        <v>9.44</v>
      </c>
    </row>
    <row r="123" spans="2:9" hidden="1" x14ac:dyDescent="0.3">
      <c r="D123" s="363">
        <v>42829</v>
      </c>
      <c r="E123" s="1"/>
      <c r="F123">
        <v>205</v>
      </c>
      <c r="G123" s="222">
        <v>15.36</v>
      </c>
    </row>
    <row r="124" spans="2:9" hidden="1" x14ac:dyDescent="0.3">
      <c r="D124" s="363">
        <v>42834</v>
      </c>
      <c r="E124" s="1"/>
      <c r="F124">
        <v>200</v>
      </c>
      <c r="G124" s="222">
        <v>97.44</v>
      </c>
    </row>
    <row r="125" spans="2:9" hidden="1" x14ac:dyDescent="0.3">
      <c r="D125" s="363">
        <v>42837</v>
      </c>
      <c r="E125" s="1"/>
      <c r="F125">
        <v>201</v>
      </c>
      <c r="G125" s="222">
        <v>93.44</v>
      </c>
    </row>
    <row r="126" spans="2:9" hidden="1" x14ac:dyDescent="0.3">
      <c r="D126" s="363">
        <v>42843</v>
      </c>
      <c r="E126" s="1"/>
      <c r="F126">
        <v>206</v>
      </c>
      <c r="G126" s="222">
        <v>32</v>
      </c>
    </row>
    <row r="127" spans="2:9" hidden="1" x14ac:dyDescent="0.3">
      <c r="D127" s="363">
        <v>42844</v>
      </c>
      <c r="E127" s="1"/>
      <c r="F127">
        <v>199</v>
      </c>
      <c r="G127" s="222">
        <v>50</v>
      </c>
    </row>
    <row r="128" spans="2:9" hidden="1" x14ac:dyDescent="0.3">
      <c r="D128" s="363">
        <v>42849</v>
      </c>
      <c r="E128" s="1"/>
      <c r="F128">
        <v>209</v>
      </c>
      <c r="G128" s="222">
        <v>20</v>
      </c>
    </row>
    <row r="129" spans="2:9" hidden="1" x14ac:dyDescent="0.3">
      <c r="F129">
        <v>202</v>
      </c>
      <c r="G129" s="222">
        <v>35.68</v>
      </c>
    </row>
    <row r="130" spans="2:9" hidden="1" x14ac:dyDescent="0.3">
      <c r="G130" s="221">
        <f>SUM(G121:G129)</f>
        <v>366.96</v>
      </c>
      <c r="H130" s="221">
        <v>0</v>
      </c>
      <c r="I130" s="221">
        <f>SUM(G130:H130)</f>
        <v>366.96</v>
      </c>
    </row>
    <row r="131" spans="2:9" hidden="1" x14ac:dyDescent="0.3">
      <c r="B131" t="s">
        <v>165</v>
      </c>
      <c r="D131" s="363">
        <v>42857</v>
      </c>
      <c r="E131" s="1"/>
      <c r="F131" t="s">
        <v>14</v>
      </c>
      <c r="H131" s="222">
        <v>1000</v>
      </c>
    </row>
    <row r="132" spans="2:9" hidden="1" x14ac:dyDescent="0.3">
      <c r="D132" s="117" t="s">
        <v>166</v>
      </c>
      <c r="F132">
        <v>179</v>
      </c>
      <c r="G132" s="222">
        <v>40</v>
      </c>
    </row>
    <row r="133" spans="2:9" hidden="1" x14ac:dyDescent="0.3">
      <c r="G133" s="222">
        <v>17.920000000000002</v>
      </c>
    </row>
    <row r="134" spans="2:9" hidden="1" x14ac:dyDescent="0.3">
      <c r="D134" s="363">
        <v>42857</v>
      </c>
      <c r="E134" s="1"/>
      <c r="F134">
        <v>217</v>
      </c>
      <c r="G134" s="222">
        <v>84</v>
      </c>
    </row>
    <row r="135" spans="2:9" hidden="1" x14ac:dyDescent="0.3">
      <c r="F135">
        <v>215</v>
      </c>
      <c r="G135" s="222">
        <v>12.16</v>
      </c>
    </row>
    <row r="136" spans="2:9" hidden="1" x14ac:dyDescent="0.3">
      <c r="F136">
        <v>212</v>
      </c>
      <c r="G136" s="222">
        <v>73.44</v>
      </c>
    </row>
    <row r="137" spans="2:9" hidden="1" x14ac:dyDescent="0.3">
      <c r="F137">
        <v>211</v>
      </c>
      <c r="G137" s="222">
        <v>73.12</v>
      </c>
    </row>
    <row r="138" spans="2:9" hidden="1" x14ac:dyDescent="0.3">
      <c r="D138" s="363">
        <v>42864</v>
      </c>
      <c r="E138" s="1"/>
      <c r="F138">
        <v>218</v>
      </c>
      <c r="G138" s="222">
        <v>13.12</v>
      </c>
    </row>
    <row r="139" spans="2:9" hidden="1" x14ac:dyDescent="0.3">
      <c r="F139" t="s">
        <v>14</v>
      </c>
      <c r="H139" s="222">
        <v>1000</v>
      </c>
    </row>
    <row r="140" spans="2:9" hidden="1" x14ac:dyDescent="0.3">
      <c r="F140">
        <v>213</v>
      </c>
      <c r="G140" s="222">
        <v>16.64</v>
      </c>
    </row>
    <row r="141" spans="2:9" hidden="1" x14ac:dyDescent="0.3">
      <c r="D141" s="363">
        <v>42864</v>
      </c>
      <c r="E141" s="1"/>
      <c r="F141">
        <v>216</v>
      </c>
      <c r="G141" s="222">
        <v>13.6</v>
      </c>
    </row>
    <row r="142" spans="2:9" hidden="1" x14ac:dyDescent="0.3">
      <c r="D142" s="363">
        <v>42867</v>
      </c>
      <c r="E142" s="1"/>
      <c r="F142">
        <v>214</v>
      </c>
      <c r="G142" s="222">
        <v>17.760000000000002</v>
      </c>
    </row>
    <row r="143" spans="2:9" hidden="1" x14ac:dyDescent="0.3">
      <c r="G143" s="221">
        <f>SUM(G131:G142)</f>
        <v>361.76</v>
      </c>
      <c r="H143" s="221">
        <f>SUM(H131:H142)</f>
        <v>2000</v>
      </c>
      <c r="I143" s="221">
        <f>SUM(G143:H143)</f>
        <v>2361.7600000000002</v>
      </c>
    </row>
    <row r="144" spans="2:9" hidden="1" x14ac:dyDescent="0.3">
      <c r="B144" s="6">
        <v>42887</v>
      </c>
      <c r="D144" s="363">
        <v>42891</v>
      </c>
      <c r="E144" s="1"/>
      <c r="G144" s="222">
        <v>60</v>
      </c>
    </row>
    <row r="145" spans="2:9" hidden="1" x14ac:dyDescent="0.3">
      <c r="D145" s="363">
        <v>42891</v>
      </c>
      <c r="E145" s="1"/>
      <c r="G145" s="222">
        <v>24.32</v>
      </c>
    </row>
    <row r="146" spans="2:9" hidden="1" x14ac:dyDescent="0.3">
      <c r="D146" s="363">
        <v>42892</v>
      </c>
      <c r="E146" s="1"/>
      <c r="G146" s="222">
        <v>70</v>
      </c>
    </row>
    <row r="147" spans="2:9" hidden="1" x14ac:dyDescent="0.3">
      <c r="D147" s="363">
        <v>42893</v>
      </c>
      <c r="E147" s="1"/>
      <c r="G147" s="222">
        <v>72</v>
      </c>
    </row>
    <row r="148" spans="2:9" hidden="1" x14ac:dyDescent="0.3">
      <c r="D148" s="363">
        <v>42895</v>
      </c>
      <c r="E148" s="1"/>
      <c r="F148" t="s">
        <v>14</v>
      </c>
      <c r="H148" s="222">
        <v>2000</v>
      </c>
    </row>
    <row r="149" spans="2:9" hidden="1" x14ac:dyDescent="0.3">
      <c r="D149" s="363">
        <v>42895</v>
      </c>
      <c r="E149" s="1"/>
      <c r="G149" s="222">
        <v>12</v>
      </c>
    </row>
    <row r="150" spans="2:9" hidden="1" x14ac:dyDescent="0.3">
      <c r="D150" s="363">
        <v>42895</v>
      </c>
      <c r="E150" s="1"/>
      <c r="G150" s="222">
        <v>13.6</v>
      </c>
    </row>
    <row r="151" spans="2:9" hidden="1" x14ac:dyDescent="0.3">
      <c r="D151" s="363">
        <v>42895</v>
      </c>
      <c r="E151" s="1"/>
      <c r="G151" s="222">
        <v>40.64</v>
      </c>
    </row>
    <row r="152" spans="2:9" hidden="1" x14ac:dyDescent="0.3">
      <c r="D152" s="363">
        <v>42913</v>
      </c>
      <c r="E152" s="1"/>
      <c r="G152" s="222">
        <v>80</v>
      </c>
    </row>
    <row r="153" spans="2:9" hidden="1" x14ac:dyDescent="0.3">
      <c r="G153" s="221">
        <f>SUM(G144:G152)</f>
        <v>372.56</v>
      </c>
      <c r="H153" s="221">
        <f>SUM(H144:H152)</f>
        <v>2000</v>
      </c>
      <c r="I153" s="221">
        <f>SUM(G153:H153)</f>
        <v>2372.56</v>
      </c>
    </row>
    <row r="154" spans="2:9" hidden="1" x14ac:dyDescent="0.3">
      <c r="B154" s="6">
        <v>42917</v>
      </c>
      <c r="D154" s="363">
        <v>42919</v>
      </c>
      <c r="E154" s="1"/>
      <c r="F154">
        <v>235</v>
      </c>
      <c r="G154" s="222">
        <v>15.2</v>
      </c>
    </row>
    <row r="155" spans="2:9" hidden="1" x14ac:dyDescent="0.3">
      <c r="D155" s="363">
        <v>42926</v>
      </c>
      <c r="E155" s="1"/>
      <c r="F155">
        <v>232</v>
      </c>
      <c r="G155" s="222">
        <v>48</v>
      </c>
    </row>
    <row r="156" spans="2:9" hidden="1" x14ac:dyDescent="0.3">
      <c r="D156" s="363">
        <v>42926</v>
      </c>
      <c r="E156" s="1"/>
      <c r="F156" t="s">
        <v>14</v>
      </c>
      <c r="H156" s="222">
        <v>1000</v>
      </c>
    </row>
    <row r="157" spans="2:9" hidden="1" x14ac:dyDescent="0.3">
      <c r="D157" s="363">
        <v>42926</v>
      </c>
      <c r="E157" s="1"/>
      <c r="F157">
        <v>238</v>
      </c>
      <c r="G157" s="222">
        <v>20</v>
      </c>
    </row>
    <row r="158" spans="2:9" hidden="1" x14ac:dyDescent="0.3">
      <c r="D158" s="363">
        <v>42926</v>
      </c>
      <c r="E158" s="1"/>
      <c r="F158">
        <v>231</v>
      </c>
      <c r="G158" s="222">
        <v>136</v>
      </c>
    </row>
    <row r="159" spans="2:9" hidden="1" x14ac:dyDescent="0.3">
      <c r="D159" s="363">
        <v>42926</v>
      </c>
      <c r="E159" s="1"/>
      <c r="F159" t="s">
        <v>179</v>
      </c>
      <c r="G159" s="222">
        <v>90.56</v>
      </c>
    </row>
    <row r="160" spans="2:9" hidden="1" x14ac:dyDescent="0.3">
      <c r="D160" s="363">
        <v>42940</v>
      </c>
      <c r="E160" s="1"/>
      <c r="F160" t="s">
        <v>180</v>
      </c>
      <c r="G160" s="222">
        <v>32.96</v>
      </c>
    </row>
    <row r="161" spans="2:9" hidden="1" x14ac:dyDescent="0.3">
      <c r="D161" s="363">
        <v>42941</v>
      </c>
      <c r="E161" s="1"/>
      <c r="F161">
        <v>229</v>
      </c>
      <c r="G161" s="222">
        <v>12</v>
      </c>
    </row>
    <row r="162" spans="2:9" hidden="1" x14ac:dyDescent="0.3">
      <c r="G162" s="221">
        <f>SUM(G154:G161)</f>
        <v>354.71999999999997</v>
      </c>
      <c r="H162" s="221">
        <f>SUM(H154:H161)</f>
        <v>1000</v>
      </c>
      <c r="I162" s="221">
        <f>SUM(G162:H162)</f>
        <v>1354.72</v>
      </c>
    </row>
    <row r="163" spans="2:9" hidden="1" x14ac:dyDescent="0.3">
      <c r="B163" s="6">
        <v>42948</v>
      </c>
      <c r="D163" s="363">
        <v>42951</v>
      </c>
      <c r="E163" s="1"/>
      <c r="F163" t="s">
        <v>14</v>
      </c>
      <c r="H163" s="222">
        <v>2000</v>
      </c>
    </row>
    <row r="164" spans="2:9" hidden="1" x14ac:dyDescent="0.3">
      <c r="D164" s="363">
        <v>42959</v>
      </c>
      <c r="E164" s="1"/>
      <c r="F164">
        <v>240</v>
      </c>
      <c r="G164" s="222">
        <v>36</v>
      </c>
    </row>
    <row r="165" spans="2:9" hidden="1" x14ac:dyDescent="0.3">
      <c r="D165" s="363">
        <v>42961</v>
      </c>
      <c r="E165" s="1"/>
      <c r="F165">
        <v>241</v>
      </c>
      <c r="G165" s="222">
        <v>20</v>
      </c>
    </row>
    <row r="166" spans="2:9" hidden="1" x14ac:dyDescent="0.3">
      <c r="D166" s="363">
        <v>42961</v>
      </c>
      <c r="E166" s="1"/>
      <c r="F166">
        <v>242</v>
      </c>
      <c r="G166" s="222">
        <v>13.6</v>
      </c>
    </row>
    <row r="167" spans="2:9" hidden="1" x14ac:dyDescent="0.3">
      <c r="D167" s="363">
        <v>42961</v>
      </c>
      <c r="E167" s="1"/>
      <c r="F167">
        <v>239</v>
      </c>
      <c r="G167" s="222">
        <v>24.16</v>
      </c>
    </row>
    <row r="168" spans="2:9" hidden="1" x14ac:dyDescent="0.3">
      <c r="G168" s="221">
        <f>SUM(G163:G167)</f>
        <v>93.759999999999991</v>
      </c>
      <c r="H168" s="221">
        <f>SUM(H163:H167)</f>
        <v>2000</v>
      </c>
      <c r="I168" s="221">
        <f>SUM(G168:H168)</f>
        <v>2093.7600000000002</v>
      </c>
    </row>
    <row r="169" spans="2:9" hidden="1" x14ac:dyDescent="0.3">
      <c r="B169" s="6">
        <v>42979</v>
      </c>
      <c r="D169" s="363">
        <v>42981</v>
      </c>
      <c r="E169" s="1"/>
      <c r="H169" s="222">
        <v>1000</v>
      </c>
    </row>
    <row r="170" spans="2:9" hidden="1" x14ac:dyDescent="0.3">
      <c r="G170" s="222">
        <v>50</v>
      </c>
    </row>
    <row r="171" spans="2:9" hidden="1" x14ac:dyDescent="0.3">
      <c r="G171" s="222">
        <v>100</v>
      </c>
    </row>
    <row r="172" spans="2:9" hidden="1" x14ac:dyDescent="0.3">
      <c r="G172" s="222">
        <v>24</v>
      </c>
    </row>
    <row r="173" spans="2:9" hidden="1" x14ac:dyDescent="0.3">
      <c r="G173" s="222">
        <v>657.5</v>
      </c>
    </row>
    <row r="174" spans="2:9" hidden="1" x14ac:dyDescent="0.3">
      <c r="G174" s="222">
        <v>48</v>
      </c>
    </row>
    <row r="175" spans="2:9" hidden="1" x14ac:dyDescent="0.3">
      <c r="G175" s="222">
        <v>40</v>
      </c>
    </row>
    <row r="176" spans="2:9" hidden="1" x14ac:dyDescent="0.3">
      <c r="G176" s="221">
        <f>SUM(G169:G175)</f>
        <v>919.5</v>
      </c>
      <c r="H176" s="221">
        <f>SUM(H169:H175)</f>
        <v>1000</v>
      </c>
    </row>
    <row r="177" spans="2:9" hidden="1" x14ac:dyDescent="0.3">
      <c r="B177" s="6">
        <v>43009</v>
      </c>
      <c r="D177" s="363">
        <v>43024</v>
      </c>
      <c r="E177" s="1"/>
      <c r="F177">
        <v>252</v>
      </c>
      <c r="G177" s="222">
        <v>12.48</v>
      </c>
      <c r="H177" s="222">
        <v>0</v>
      </c>
      <c r="I177" s="222">
        <v>12.48</v>
      </c>
    </row>
    <row r="178" spans="2:9" hidden="1" x14ac:dyDescent="0.3">
      <c r="B178" s="6">
        <v>43040</v>
      </c>
      <c r="H178" s="222">
        <v>2500</v>
      </c>
    </row>
    <row r="179" spans="2:9" hidden="1" x14ac:dyDescent="0.3">
      <c r="G179" s="222">
        <v>24</v>
      </c>
    </row>
    <row r="180" spans="2:9" hidden="1" x14ac:dyDescent="0.3">
      <c r="G180" s="222">
        <v>53.12</v>
      </c>
    </row>
    <row r="181" spans="2:9" hidden="1" x14ac:dyDescent="0.3">
      <c r="G181" s="222">
        <v>17.28</v>
      </c>
    </row>
    <row r="182" spans="2:9" hidden="1" x14ac:dyDescent="0.3">
      <c r="G182" s="222">
        <v>252.96</v>
      </c>
    </row>
    <row r="183" spans="2:9" hidden="1" x14ac:dyDescent="0.3">
      <c r="G183" s="222">
        <v>28.32</v>
      </c>
    </row>
    <row r="184" spans="2:9" hidden="1" x14ac:dyDescent="0.3">
      <c r="H184" s="222">
        <v>2500</v>
      </c>
    </row>
    <row r="185" spans="2:9" hidden="1" x14ac:dyDescent="0.3">
      <c r="G185" s="222">
        <v>60</v>
      </c>
    </row>
    <row r="186" spans="2:9" hidden="1" x14ac:dyDescent="0.3">
      <c r="G186" s="222">
        <v>160</v>
      </c>
    </row>
    <row r="187" spans="2:9" hidden="1" x14ac:dyDescent="0.3">
      <c r="H187" s="222">
        <v>1000</v>
      </c>
    </row>
    <row r="188" spans="2:9" hidden="1" x14ac:dyDescent="0.3">
      <c r="G188" s="221">
        <f>SUM(G178:G187)</f>
        <v>595.68000000000006</v>
      </c>
      <c r="H188" s="221">
        <f>SUM(H178:H187)</f>
        <v>6000</v>
      </c>
    </row>
    <row r="189" spans="2:9" hidden="1" x14ac:dyDescent="0.3">
      <c r="B189" s="6">
        <v>43070</v>
      </c>
      <c r="G189" s="222">
        <v>43.68</v>
      </c>
    </row>
    <row r="190" spans="2:9" hidden="1" x14ac:dyDescent="0.3">
      <c r="H190" s="222">
        <v>2000</v>
      </c>
    </row>
    <row r="191" spans="2:9" hidden="1" x14ac:dyDescent="0.3">
      <c r="G191" s="222">
        <v>62.72</v>
      </c>
    </row>
    <row r="192" spans="2:9" hidden="1" x14ac:dyDescent="0.3">
      <c r="G192" s="222">
        <v>52.16</v>
      </c>
    </row>
    <row r="193" spans="2:10" hidden="1" x14ac:dyDescent="0.3">
      <c r="G193" s="222">
        <v>43.2</v>
      </c>
    </row>
    <row r="194" spans="2:10" hidden="1" x14ac:dyDescent="0.3">
      <c r="G194" s="222">
        <v>554</v>
      </c>
    </row>
    <row r="195" spans="2:10" hidden="1" x14ac:dyDescent="0.3">
      <c r="G195" s="222">
        <v>2367</v>
      </c>
      <c r="J195" t="s">
        <v>202</v>
      </c>
    </row>
    <row r="196" spans="2:10" hidden="1" x14ac:dyDescent="0.3">
      <c r="G196" s="221">
        <f>SUM(G189:G195)</f>
        <v>3122.76</v>
      </c>
      <c r="H196" s="221">
        <f>SUM(H189:H195)</f>
        <v>2000</v>
      </c>
    </row>
    <row r="197" spans="2:10" hidden="1" x14ac:dyDescent="0.3">
      <c r="B197" s="6">
        <v>43101</v>
      </c>
    </row>
    <row r="198" spans="2:10" hidden="1" x14ac:dyDescent="0.3">
      <c r="G198" s="222">
        <v>20</v>
      </c>
      <c r="H198" s="222">
        <v>1500</v>
      </c>
    </row>
    <row r="199" spans="2:10" hidden="1" x14ac:dyDescent="0.3">
      <c r="G199" s="222">
        <v>31.68</v>
      </c>
    </row>
    <row r="200" spans="2:10" hidden="1" x14ac:dyDescent="0.3">
      <c r="G200" s="222">
        <v>789</v>
      </c>
      <c r="J200" t="s">
        <v>202</v>
      </c>
    </row>
    <row r="201" spans="2:10" hidden="1" x14ac:dyDescent="0.3">
      <c r="G201" s="222">
        <v>17.600000000000001</v>
      </c>
    </row>
    <row r="202" spans="2:10" hidden="1" x14ac:dyDescent="0.3">
      <c r="G202" s="222">
        <v>14.08</v>
      </c>
    </row>
    <row r="203" spans="2:10" hidden="1" x14ac:dyDescent="0.3">
      <c r="G203" s="222">
        <v>40</v>
      </c>
    </row>
    <row r="204" spans="2:10" hidden="1" x14ac:dyDescent="0.3">
      <c r="G204" s="222">
        <v>27.04</v>
      </c>
    </row>
    <row r="205" spans="2:10" hidden="1" x14ac:dyDescent="0.3">
      <c r="G205" s="222">
        <v>24</v>
      </c>
    </row>
    <row r="206" spans="2:10" hidden="1" x14ac:dyDescent="0.3">
      <c r="G206" s="222">
        <v>27.2</v>
      </c>
    </row>
    <row r="207" spans="2:10" hidden="1" x14ac:dyDescent="0.3">
      <c r="G207" s="221">
        <f>SUM(G198:G206)</f>
        <v>990.6</v>
      </c>
      <c r="H207" s="221">
        <f>SUM(H198:H206)</f>
        <v>1500</v>
      </c>
      <c r="I207" s="221">
        <f>SUM(G207:H207)</f>
        <v>2490.6</v>
      </c>
    </row>
    <row r="208" spans="2:10" hidden="1" x14ac:dyDescent="0.3">
      <c r="B208" t="s">
        <v>19</v>
      </c>
      <c r="G208" s="222">
        <v>55.84</v>
      </c>
    </row>
    <row r="209" spans="2:9" hidden="1" x14ac:dyDescent="0.3">
      <c r="G209" s="222">
        <v>84</v>
      </c>
    </row>
    <row r="210" spans="2:9" hidden="1" x14ac:dyDescent="0.3">
      <c r="G210" s="222">
        <v>70</v>
      </c>
      <c r="H210" s="222">
        <v>0</v>
      </c>
    </row>
    <row r="211" spans="2:9" hidden="1" x14ac:dyDescent="0.3">
      <c r="G211" s="221">
        <f>SUM(G208:G210)</f>
        <v>209.84</v>
      </c>
      <c r="H211" s="221">
        <v>0</v>
      </c>
      <c r="I211" s="221">
        <f>SUM(G211:H211)</f>
        <v>209.84</v>
      </c>
    </row>
    <row r="212" spans="2:9" hidden="1" x14ac:dyDescent="0.3">
      <c r="B212" t="s">
        <v>221</v>
      </c>
      <c r="G212" s="222">
        <v>12.8</v>
      </c>
    </row>
    <row r="213" spans="2:9" hidden="1" x14ac:dyDescent="0.3">
      <c r="G213" s="222">
        <v>160</v>
      </c>
    </row>
    <row r="214" spans="2:9" hidden="1" x14ac:dyDescent="0.3">
      <c r="G214" s="222">
        <v>14.24</v>
      </c>
    </row>
    <row r="215" spans="2:9" hidden="1" x14ac:dyDescent="0.3">
      <c r="G215" s="222">
        <v>22.08</v>
      </c>
    </row>
    <row r="216" spans="2:9" hidden="1" x14ac:dyDescent="0.3">
      <c r="G216" s="222">
        <v>29.92</v>
      </c>
    </row>
    <row r="217" spans="2:9" hidden="1" x14ac:dyDescent="0.3">
      <c r="G217" s="222">
        <v>60.8</v>
      </c>
    </row>
    <row r="218" spans="2:9" hidden="1" x14ac:dyDescent="0.3">
      <c r="G218" s="222">
        <v>55.84</v>
      </c>
    </row>
    <row r="219" spans="2:9" hidden="1" x14ac:dyDescent="0.3">
      <c r="G219" s="222">
        <v>1072</v>
      </c>
    </row>
    <row r="220" spans="2:9" hidden="1" x14ac:dyDescent="0.3">
      <c r="G220" s="222">
        <v>500</v>
      </c>
    </row>
    <row r="221" spans="2:9" hidden="1" x14ac:dyDescent="0.3">
      <c r="G221" s="222">
        <v>263</v>
      </c>
    </row>
    <row r="222" spans="2:9" hidden="1" x14ac:dyDescent="0.3">
      <c r="G222" s="221">
        <f>SUM(G212:G221)</f>
        <v>2190.6800000000003</v>
      </c>
      <c r="H222" s="221">
        <v>0</v>
      </c>
      <c r="I222" s="221">
        <f>SUM(G222:H222)</f>
        <v>2190.6800000000003</v>
      </c>
    </row>
    <row r="223" spans="2:9" ht="13.5" thickBot="1" x14ac:dyDescent="0.35"/>
    <row r="224" spans="2:9" ht="13.5" thickBot="1" x14ac:dyDescent="0.35">
      <c r="B224" s="84"/>
      <c r="C224" s="80"/>
      <c r="D224" s="365" t="s">
        <v>0</v>
      </c>
      <c r="E224" s="80"/>
      <c r="F224" s="85" t="s">
        <v>235</v>
      </c>
      <c r="G224" s="224" t="s">
        <v>51</v>
      </c>
      <c r="H224" s="224" t="s">
        <v>52</v>
      </c>
      <c r="I224" s="225" t="s">
        <v>66</v>
      </c>
    </row>
    <row r="225" spans="2:22" x14ac:dyDescent="0.3">
      <c r="B225" s="86">
        <v>45748</v>
      </c>
      <c r="C225" s="87"/>
      <c r="D225" s="91">
        <v>45756</v>
      </c>
      <c r="E225" s="87" t="s">
        <v>274</v>
      </c>
      <c r="F225" s="89"/>
      <c r="G225" s="176"/>
      <c r="H225" s="176">
        <v>2000</v>
      </c>
      <c r="I225" s="226"/>
    </row>
    <row r="226" spans="2:22" x14ac:dyDescent="0.3">
      <c r="B226" s="95"/>
      <c r="C226" s="96"/>
      <c r="D226" s="146">
        <v>45762</v>
      </c>
      <c r="E226" s="96" t="s">
        <v>372</v>
      </c>
      <c r="F226" s="112" t="s">
        <v>326</v>
      </c>
      <c r="G226" s="167">
        <v>143.1</v>
      </c>
      <c r="H226" s="167"/>
      <c r="I226" s="168"/>
    </row>
    <row r="227" spans="2:22" x14ac:dyDescent="0.3">
      <c r="B227" s="95"/>
      <c r="C227" s="96"/>
      <c r="D227" s="146">
        <v>45769</v>
      </c>
      <c r="E227" s="96" t="s">
        <v>327</v>
      </c>
      <c r="F227" s="112" t="s">
        <v>328</v>
      </c>
      <c r="G227" s="167">
        <v>36.5</v>
      </c>
      <c r="H227" s="167"/>
      <c r="I227" s="168"/>
    </row>
    <row r="228" spans="2:22" x14ac:dyDescent="0.3">
      <c r="B228" s="33"/>
      <c r="C228" s="27"/>
      <c r="D228" s="175">
        <v>45770</v>
      </c>
      <c r="E228" s="27" t="s">
        <v>329</v>
      </c>
      <c r="F228" s="30" t="s">
        <v>428</v>
      </c>
      <c r="G228" s="169">
        <v>48.1</v>
      </c>
      <c r="H228" s="169"/>
      <c r="I228" s="171"/>
    </row>
    <row r="229" spans="2:22" ht="13.5" thickBot="1" x14ac:dyDescent="0.35">
      <c r="B229" s="90"/>
      <c r="C229" s="35"/>
      <c r="D229" s="366"/>
      <c r="E229" s="35"/>
      <c r="F229" s="157"/>
      <c r="G229" s="230">
        <f>SUM(G225:G228)</f>
        <v>227.7</v>
      </c>
      <c r="H229" s="230">
        <f>SUM(H225:H228)</f>
        <v>2000</v>
      </c>
      <c r="I229" s="177">
        <f>SUM(G229:H229)</f>
        <v>2227.6999999999998</v>
      </c>
    </row>
    <row r="230" spans="2:22" x14ac:dyDescent="0.3">
      <c r="B230" s="86">
        <v>45778</v>
      </c>
      <c r="C230" s="337"/>
      <c r="D230" s="91">
        <v>45792</v>
      </c>
      <c r="E230" s="87" t="s">
        <v>274</v>
      </c>
      <c r="F230" s="89"/>
      <c r="G230" s="176"/>
      <c r="H230" s="176">
        <v>2000</v>
      </c>
      <c r="I230" s="229"/>
    </row>
    <row r="231" spans="2:22" x14ac:dyDescent="0.3">
      <c r="B231" s="95"/>
      <c r="C231" s="27"/>
      <c r="D231" s="146">
        <v>45798</v>
      </c>
      <c r="E231" s="97" t="s">
        <v>373</v>
      </c>
      <c r="F231" s="112" t="s">
        <v>374</v>
      </c>
      <c r="G231" s="167">
        <v>187.2</v>
      </c>
      <c r="H231" s="167"/>
      <c r="I231" s="227"/>
    </row>
    <row r="232" spans="2:22" x14ac:dyDescent="0.3">
      <c r="B232" s="95"/>
      <c r="C232" s="96"/>
      <c r="D232" s="146">
        <v>45800</v>
      </c>
      <c r="E232" s="97" t="s">
        <v>375</v>
      </c>
      <c r="F232" s="112" t="s">
        <v>376</v>
      </c>
      <c r="G232" s="167">
        <v>84</v>
      </c>
      <c r="H232" s="167"/>
      <c r="I232" s="228"/>
    </row>
    <row r="233" spans="2:22" x14ac:dyDescent="0.3">
      <c r="B233" s="95"/>
      <c r="C233" s="96"/>
      <c r="D233" s="146">
        <v>45807</v>
      </c>
      <c r="E233" s="97" t="s">
        <v>377</v>
      </c>
      <c r="F233" s="112" t="s">
        <v>378</v>
      </c>
      <c r="G233" s="167">
        <v>40.6</v>
      </c>
      <c r="H233" s="167"/>
      <c r="I233" s="228"/>
    </row>
    <row r="234" spans="2:22" ht="12.9" customHeight="1" thickBot="1" x14ac:dyDescent="0.35">
      <c r="B234" s="49"/>
      <c r="C234" s="104"/>
      <c r="D234" s="338"/>
      <c r="E234" s="102"/>
      <c r="F234" s="267"/>
      <c r="G234" s="174">
        <f>SUM(G231:G233)</f>
        <v>311.8</v>
      </c>
      <c r="H234" s="174">
        <f>SUM(H230:H233)</f>
        <v>2000</v>
      </c>
      <c r="I234" s="268">
        <f>SUM(G234:H234)</f>
        <v>2311.8000000000002</v>
      </c>
      <c r="V234" s="11"/>
    </row>
    <row r="235" spans="2:22" ht="12.9" customHeight="1" x14ac:dyDescent="0.3">
      <c r="B235" s="86">
        <v>45809</v>
      </c>
      <c r="C235" s="87"/>
      <c r="D235" s="91">
        <v>45819</v>
      </c>
      <c r="E235" s="87" t="s">
        <v>274</v>
      </c>
      <c r="F235" s="89"/>
      <c r="G235" s="176"/>
      <c r="H235" s="176">
        <v>1000</v>
      </c>
      <c r="I235" s="229"/>
      <c r="V235" s="11"/>
    </row>
    <row r="236" spans="2:22" ht="12.9" customHeight="1" x14ac:dyDescent="0.3">
      <c r="B236" s="95"/>
      <c r="C236" s="96"/>
      <c r="D236" s="146">
        <v>45827</v>
      </c>
      <c r="E236" s="96" t="s">
        <v>274</v>
      </c>
      <c r="F236" s="112"/>
      <c r="G236" s="167"/>
      <c r="H236" s="167">
        <v>14000</v>
      </c>
      <c r="I236" s="228"/>
      <c r="V236" s="11"/>
    </row>
    <row r="237" spans="2:22" ht="12.9" customHeight="1" x14ac:dyDescent="0.3">
      <c r="B237" s="33"/>
      <c r="C237" s="27"/>
      <c r="D237" s="175">
        <v>45832</v>
      </c>
      <c r="E237" s="27" t="s">
        <v>381</v>
      </c>
      <c r="F237" s="30" t="s">
        <v>429</v>
      </c>
      <c r="G237" s="169">
        <v>20.3</v>
      </c>
      <c r="H237" s="169"/>
      <c r="I237" s="227"/>
      <c r="V237" s="11"/>
    </row>
    <row r="238" spans="2:22" ht="12.5" customHeight="1" thickBot="1" x14ac:dyDescent="0.35">
      <c r="B238" s="90"/>
      <c r="C238" s="35"/>
      <c r="D238" s="366"/>
      <c r="E238" s="35"/>
      <c r="F238" s="157"/>
      <c r="G238" s="230">
        <f>SUM(G235:G237)</f>
        <v>20.3</v>
      </c>
      <c r="H238" s="230">
        <f>SUM(H235:H237)</f>
        <v>15000</v>
      </c>
      <c r="I238" s="177">
        <f>SUM(G238:H238)</f>
        <v>15020.3</v>
      </c>
      <c r="V238" s="11"/>
    </row>
    <row r="239" spans="2:22" ht="12.5" customHeight="1" x14ac:dyDescent="0.3">
      <c r="B239" s="86">
        <v>45839</v>
      </c>
      <c r="C239" s="87"/>
      <c r="D239" s="91">
        <v>45846</v>
      </c>
      <c r="E239" s="87" t="s">
        <v>426</v>
      </c>
      <c r="F239" s="89" t="s">
        <v>427</v>
      </c>
      <c r="G239" s="176">
        <v>20.3</v>
      </c>
      <c r="H239" s="176"/>
      <c r="I239" s="226"/>
      <c r="V239" s="11"/>
    </row>
    <row r="240" spans="2:22" ht="12.5" customHeight="1" x14ac:dyDescent="0.3">
      <c r="B240" s="95"/>
      <c r="C240" s="96"/>
      <c r="D240" s="146">
        <v>45846</v>
      </c>
      <c r="E240" s="96" t="s">
        <v>430</v>
      </c>
      <c r="F240" s="112" t="s">
        <v>431</v>
      </c>
      <c r="G240" s="167">
        <v>26.8</v>
      </c>
      <c r="H240" s="167"/>
      <c r="I240" s="168"/>
      <c r="V240" s="11"/>
    </row>
    <row r="241" spans="2:22" ht="12.5" customHeight="1" x14ac:dyDescent="0.3">
      <c r="B241" s="95"/>
      <c r="C241" s="96"/>
      <c r="D241" s="146">
        <v>45847</v>
      </c>
      <c r="E241" s="96" t="s">
        <v>274</v>
      </c>
      <c r="F241" s="112"/>
      <c r="G241" s="167"/>
      <c r="H241" s="167">
        <v>2500</v>
      </c>
      <c r="I241" s="168"/>
      <c r="V241" s="11"/>
    </row>
    <row r="242" spans="2:22" ht="12.5" customHeight="1" x14ac:dyDescent="0.3">
      <c r="B242" s="95"/>
      <c r="C242" s="96"/>
      <c r="D242" s="146">
        <v>45862</v>
      </c>
      <c r="E242" s="96" t="s">
        <v>432</v>
      </c>
      <c r="F242" s="112" t="s">
        <v>433</v>
      </c>
      <c r="G242" s="167">
        <v>80</v>
      </c>
      <c r="H242" s="167"/>
      <c r="I242" s="168"/>
      <c r="V242" s="11"/>
    </row>
    <row r="243" spans="2:22" ht="12.5" customHeight="1" x14ac:dyDescent="0.3">
      <c r="B243" s="95"/>
      <c r="C243" s="96"/>
      <c r="D243" s="146">
        <v>45867</v>
      </c>
      <c r="E243" s="96" t="s">
        <v>434</v>
      </c>
      <c r="F243" s="112" t="s">
        <v>473</v>
      </c>
      <c r="G243" s="167">
        <v>500</v>
      </c>
      <c r="H243" s="167"/>
      <c r="I243" s="168"/>
      <c r="V243" s="11"/>
    </row>
    <row r="244" spans="2:22" x14ac:dyDescent="0.3">
      <c r="B244" s="95"/>
      <c r="C244" s="96"/>
      <c r="D244" s="146">
        <v>45868</v>
      </c>
      <c r="E244" s="96" t="s">
        <v>435</v>
      </c>
      <c r="F244" s="112" t="s">
        <v>436</v>
      </c>
      <c r="G244" s="167">
        <v>500</v>
      </c>
      <c r="H244" s="167"/>
      <c r="I244" s="168"/>
      <c r="V244" s="11"/>
    </row>
    <row r="245" spans="2:22" ht="13.5" thickBot="1" x14ac:dyDescent="0.35">
      <c r="B245" s="90"/>
      <c r="C245" s="35"/>
      <c r="D245" s="366"/>
      <c r="E245" s="68"/>
      <c r="F245" s="35"/>
      <c r="G245" s="230">
        <f>SUM(G239:G244)</f>
        <v>1127.0999999999999</v>
      </c>
      <c r="H245" s="230">
        <f>SUM(H239:H244)</f>
        <v>2500</v>
      </c>
      <c r="I245" s="177">
        <f>SUM(G245:H245)</f>
        <v>3627.1</v>
      </c>
      <c r="V245" s="11"/>
    </row>
    <row r="246" spans="2:22" x14ac:dyDescent="0.3">
      <c r="B246" s="86">
        <v>45870</v>
      </c>
      <c r="C246" s="87"/>
      <c r="D246" s="91">
        <v>45874</v>
      </c>
      <c r="E246" s="88" t="s">
        <v>462</v>
      </c>
      <c r="F246" s="89" t="s">
        <v>463</v>
      </c>
      <c r="G246" s="176">
        <v>20.260000000000002</v>
      </c>
      <c r="H246" s="176"/>
      <c r="I246" s="226"/>
      <c r="V246" s="11"/>
    </row>
    <row r="247" spans="2:22" x14ac:dyDescent="0.3">
      <c r="B247" s="95"/>
      <c r="C247" s="96"/>
      <c r="D247" s="146">
        <v>45874</v>
      </c>
      <c r="E247" s="97" t="s">
        <v>464</v>
      </c>
      <c r="F247" s="112" t="s">
        <v>465</v>
      </c>
      <c r="G247" s="167">
        <v>20</v>
      </c>
      <c r="H247" s="167"/>
      <c r="I247" s="168"/>
      <c r="V247" s="11"/>
    </row>
    <row r="248" spans="2:22" x14ac:dyDescent="0.3">
      <c r="B248" s="95"/>
      <c r="C248" s="96"/>
      <c r="D248" s="146">
        <v>45880</v>
      </c>
      <c r="E248" s="97" t="s">
        <v>468</v>
      </c>
      <c r="F248" s="112" t="s">
        <v>474</v>
      </c>
      <c r="G248" s="167">
        <v>29</v>
      </c>
      <c r="H248" s="167"/>
      <c r="I248" s="168"/>
      <c r="V248" s="11"/>
    </row>
    <row r="249" spans="2:22" x14ac:dyDescent="0.3">
      <c r="B249" s="95"/>
      <c r="C249" s="96"/>
      <c r="D249" s="146">
        <v>45881</v>
      </c>
      <c r="E249" s="97" t="s">
        <v>466</v>
      </c>
      <c r="F249" s="112" t="s">
        <v>467</v>
      </c>
      <c r="G249" s="167">
        <v>50</v>
      </c>
      <c r="H249" s="167"/>
      <c r="I249" s="168"/>
      <c r="V249" s="11"/>
    </row>
    <row r="250" spans="2:22" x14ac:dyDescent="0.3">
      <c r="B250" s="33"/>
      <c r="C250" s="27"/>
      <c r="D250" s="146">
        <v>45888</v>
      </c>
      <c r="E250" s="96" t="s">
        <v>274</v>
      </c>
      <c r="F250" s="112"/>
      <c r="G250" s="167"/>
      <c r="H250" s="167">
        <v>1000</v>
      </c>
      <c r="I250" s="171"/>
      <c r="V250" s="11"/>
    </row>
    <row r="251" spans="2:22" x14ac:dyDescent="0.3">
      <c r="B251" s="33"/>
      <c r="C251" s="27"/>
      <c r="D251" s="146">
        <v>45895</v>
      </c>
      <c r="E251" s="96" t="s">
        <v>469</v>
      </c>
      <c r="F251" s="112" t="s">
        <v>470</v>
      </c>
      <c r="G251" s="167">
        <v>20</v>
      </c>
      <c r="H251" s="167"/>
      <c r="I251" s="171"/>
      <c r="V251" s="11"/>
    </row>
    <row r="252" spans="2:22" x14ac:dyDescent="0.3">
      <c r="B252" s="33"/>
      <c r="C252" s="27"/>
      <c r="D252" s="175">
        <v>45897</v>
      </c>
      <c r="E252" s="28" t="s">
        <v>471</v>
      </c>
      <c r="F252" s="30" t="s">
        <v>472</v>
      </c>
      <c r="G252" s="169">
        <v>700</v>
      </c>
      <c r="H252" s="169"/>
      <c r="I252" s="171"/>
    </row>
    <row r="253" spans="2:22" ht="13.9" customHeight="1" thickBot="1" x14ac:dyDescent="0.35">
      <c r="B253" s="90"/>
      <c r="C253" s="35"/>
      <c r="D253" s="366"/>
      <c r="E253" s="68"/>
      <c r="F253" s="157"/>
      <c r="G253" s="230">
        <f>SUM(G246:G252)</f>
        <v>839.26</v>
      </c>
      <c r="H253" s="230">
        <f>H250</f>
        <v>1000</v>
      </c>
      <c r="I253" s="177">
        <f>SUM(G253:H253)</f>
        <v>1839.26</v>
      </c>
    </row>
    <row r="254" spans="2:22" ht="13.9" customHeight="1" x14ac:dyDescent="0.3">
      <c r="B254" s="86">
        <v>45901</v>
      </c>
      <c r="C254" s="87"/>
      <c r="D254" s="91">
        <v>45902</v>
      </c>
      <c r="E254" s="88" t="s">
        <v>487</v>
      </c>
      <c r="F254" s="89" t="s">
        <v>488</v>
      </c>
      <c r="G254" s="176">
        <v>20</v>
      </c>
      <c r="H254" s="176"/>
      <c r="I254" s="226"/>
    </row>
    <row r="255" spans="2:22" ht="13.9" customHeight="1" x14ac:dyDescent="0.3">
      <c r="B255" s="33"/>
      <c r="C255" s="27"/>
      <c r="D255" s="175">
        <v>45908</v>
      </c>
      <c r="E255" s="28" t="s">
        <v>489</v>
      </c>
      <c r="F255" s="30" t="s">
        <v>490</v>
      </c>
      <c r="G255" s="169">
        <v>150</v>
      </c>
      <c r="H255" s="169"/>
      <c r="I255" s="171"/>
    </row>
    <row r="256" spans="2:22" ht="13.9" customHeight="1" x14ac:dyDescent="0.3">
      <c r="B256" s="32"/>
      <c r="C256" s="27"/>
      <c r="D256" s="175">
        <v>45908</v>
      </c>
      <c r="E256" s="27" t="s">
        <v>491</v>
      </c>
      <c r="F256" s="30" t="s">
        <v>492</v>
      </c>
      <c r="G256" s="169">
        <v>70.540000000000006</v>
      </c>
      <c r="H256" s="169"/>
      <c r="I256" s="171"/>
    </row>
    <row r="257" spans="2:9" ht="13.9" customHeight="1" x14ac:dyDescent="0.3">
      <c r="B257" s="32"/>
      <c r="C257" s="27"/>
      <c r="D257" s="175">
        <v>45909</v>
      </c>
      <c r="E257" s="27" t="s">
        <v>493</v>
      </c>
      <c r="F257" s="30" t="s">
        <v>494</v>
      </c>
      <c r="G257" s="169">
        <v>150</v>
      </c>
      <c r="H257" s="169"/>
      <c r="I257" s="171"/>
    </row>
    <row r="258" spans="2:9" ht="13.9" customHeight="1" x14ac:dyDescent="0.3">
      <c r="B258" s="32"/>
      <c r="C258" s="27"/>
      <c r="D258" s="175">
        <v>45910</v>
      </c>
      <c r="E258" s="27" t="s">
        <v>495</v>
      </c>
      <c r="F258" s="30" t="s">
        <v>496</v>
      </c>
      <c r="G258" s="169">
        <v>1000</v>
      </c>
      <c r="H258" s="169"/>
      <c r="I258" s="171"/>
    </row>
    <row r="259" spans="2:9" ht="13.9" customHeight="1" x14ac:dyDescent="0.3">
      <c r="B259" s="32"/>
      <c r="C259" s="27"/>
      <c r="D259" s="175">
        <v>45553</v>
      </c>
      <c r="E259" s="27" t="s">
        <v>500</v>
      </c>
      <c r="F259" s="30" t="s">
        <v>499</v>
      </c>
      <c r="G259" s="169">
        <v>95</v>
      </c>
      <c r="H259" s="169"/>
      <c r="I259" s="171"/>
    </row>
    <row r="260" spans="2:9" x14ac:dyDescent="0.3">
      <c r="B260" s="32"/>
      <c r="C260" s="27"/>
      <c r="D260" s="175">
        <v>45924</v>
      </c>
      <c r="E260" s="27" t="s">
        <v>497</v>
      </c>
      <c r="F260" s="30" t="s">
        <v>498</v>
      </c>
      <c r="G260" s="169">
        <v>20.54</v>
      </c>
      <c r="H260" s="169"/>
      <c r="I260" s="171"/>
    </row>
    <row r="261" spans="2:9" ht="13.5" thickBot="1" x14ac:dyDescent="0.35">
      <c r="B261" s="72"/>
      <c r="C261" s="74"/>
      <c r="D261" s="367"/>
      <c r="E261" s="74"/>
      <c r="F261" s="151"/>
      <c r="G261" s="178">
        <f>SUM(G254:G260)</f>
        <v>1506.08</v>
      </c>
      <c r="H261" s="178">
        <f>SUM(H254:H260)</f>
        <v>0</v>
      </c>
      <c r="I261" s="220">
        <f>SUM(G254:H260)</f>
        <v>1506.08</v>
      </c>
    </row>
    <row r="262" spans="2:9" x14ac:dyDescent="0.3">
      <c r="B262" s="86">
        <v>45931</v>
      </c>
      <c r="C262" s="87"/>
      <c r="D262" s="91">
        <v>45931</v>
      </c>
      <c r="E262" s="88" t="s">
        <v>526</v>
      </c>
      <c r="F262" s="89" t="s">
        <v>527</v>
      </c>
      <c r="G262" s="176">
        <v>36.35</v>
      </c>
      <c r="H262" s="269"/>
      <c r="I262" s="229"/>
    </row>
    <row r="263" spans="2:9" x14ac:dyDescent="0.3">
      <c r="B263" s="33"/>
      <c r="C263" s="27"/>
      <c r="D263" s="175">
        <v>45931</v>
      </c>
      <c r="E263" s="28" t="s">
        <v>528</v>
      </c>
      <c r="F263" s="30" t="s">
        <v>529</v>
      </c>
      <c r="G263" s="169">
        <v>31.21</v>
      </c>
      <c r="H263" s="231"/>
      <c r="I263" s="227"/>
    </row>
    <row r="264" spans="2:9" x14ac:dyDescent="0.3">
      <c r="B264" s="33"/>
      <c r="C264" s="27"/>
      <c r="D264" s="175">
        <v>45935</v>
      </c>
      <c r="E264" s="28" t="s">
        <v>530</v>
      </c>
      <c r="F264" s="30" t="s">
        <v>531</v>
      </c>
      <c r="G264" s="169">
        <v>159.44999999999999</v>
      </c>
      <c r="H264" s="169"/>
      <c r="I264" s="227"/>
    </row>
    <row r="265" spans="2:9" x14ac:dyDescent="0.3">
      <c r="B265" s="33"/>
      <c r="C265" s="27"/>
      <c r="D265" s="175">
        <v>45945</v>
      </c>
      <c r="E265" s="28" t="s">
        <v>274</v>
      </c>
      <c r="F265" s="30"/>
      <c r="G265" s="169"/>
      <c r="H265" s="169">
        <v>2000</v>
      </c>
      <c r="I265" s="227"/>
    </row>
    <row r="266" spans="2:9" x14ac:dyDescent="0.3">
      <c r="B266" s="33"/>
      <c r="C266" s="27"/>
      <c r="D266" s="175">
        <v>45953</v>
      </c>
      <c r="E266" s="28" t="s">
        <v>533</v>
      </c>
      <c r="F266" s="30" t="s">
        <v>532</v>
      </c>
      <c r="G266" s="169">
        <v>80</v>
      </c>
      <c r="H266" s="169"/>
      <c r="I266" s="227"/>
    </row>
    <row r="267" spans="2:9" x14ac:dyDescent="0.3">
      <c r="B267" s="33"/>
      <c r="C267" s="27"/>
      <c r="D267" s="175">
        <v>45959</v>
      </c>
      <c r="E267" s="28" t="s">
        <v>534</v>
      </c>
      <c r="F267" s="30" t="s">
        <v>535</v>
      </c>
      <c r="G267" s="169">
        <v>10.36</v>
      </c>
      <c r="H267" s="231"/>
      <c r="I267" s="227"/>
    </row>
    <row r="268" spans="2:9" ht="13.5" thickBot="1" x14ac:dyDescent="0.35">
      <c r="B268" s="90"/>
      <c r="C268" s="35"/>
      <c r="D268" s="366"/>
      <c r="E268" s="68"/>
      <c r="F268" s="157"/>
      <c r="G268" s="230">
        <f>SUM(G262:G267)</f>
        <v>317.37</v>
      </c>
      <c r="H268" s="230">
        <f>SUM(H262:H267)</f>
        <v>2000</v>
      </c>
      <c r="I268" s="177">
        <f>G268+H268</f>
        <v>2317.37</v>
      </c>
    </row>
    <row r="269" spans="2:9" x14ac:dyDescent="0.3">
      <c r="B269" s="86">
        <v>45962</v>
      </c>
      <c r="C269" s="87"/>
      <c r="D269" s="91">
        <v>45967</v>
      </c>
      <c r="E269" s="88" t="s">
        <v>578</v>
      </c>
      <c r="F269" s="89" t="s">
        <v>579</v>
      </c>
      <c r="G269" s="176">
        <v>150</v>
      </c>
      <c r="H269" s="176"/>
      <c r="I269" s="226"/>
    </row>
    <row r="270" spans="2:9" x14ac:dyDescent="0.3">
      <c r="B270" s="33"/>
      <c r="C270" s="27"/>
      <c r="D270" s="175">
        <v>45968</v>
      </c>
      <c r="E270" s="28" t="s">
        <v>580</v>
      </c>
      <c r="F270" s="30" t="s">
        <v>582</v>
      </c>
      <c r="G270" s="169">
        <v>20.56</v>
      </c>
      <c r="H270" s="169"/>
      <c r="I270" s="171"/>
    </row>
    <row r="271" spans="2:9" x14ac:dyDescent="0.3">
      <c r="B271" s="33"/>
      <c r="C271" s="27"/>
      <c r="D271" s="175">
        <v>45971</v>
      </c>
      <c r="E271" s="28" t="s">
        <v>581</v>
      </c>
      <c r="F271" s="30" t="s">
        <v>583</v>
      </c>
      <c r="G271" s="169">
        <v>20</v>
      </c>
      <c r="H271" s="169"/>
      <c r="I271" s="171"/>
    </row>
    <row r="272" spans="2:9" x14ac:dyDescent="0.3">
      <c r="B272" s="33"/>
      <c r="C272" s="27"/>
      <c r="D272" s="175">
        <v>45973</v>
      </c>
      <c r="E272" s="28" t="s">
        <v>274</v>
      </c>
      <c r="F272" s="30"/>
      <c r="G272" s="169"/>
      <c r="H272" s="169">
        <v>3000</v>
      </c>
      <c r="I272" s="171"/>
    </row>
    <row r="273" spans="2:9" x14ac:dyDescent="0.3">
      <c r="B273" s="32"/>
      <c r="C273" s="27"/>
      <c r="D273" s="175">
        <v>47077</v>
      </c>
      <c r="E273" s="27" t="s">
        <v>584</v>
      </c>
      <c r="F273" s="30" t="s">
        <v>585</v>
      </c>
      <c r="G273" s="169">
        <v>30.9</v>
      </c>
      <c r="H273" s="169"/>
      <c r="I273" s="227"/>
    </row>
    <row r="274" spans="2:9" x14ac:dyDescent="0.3">
      <c r="B274" s="32"/>
      <c r="C274" s="27"/>
      <c r="D274" s="175">
        <v>45989</v>
      </c>
      <c r="E274" s="27" t="s">
        <v>586</v>
      </c>
      <c r="F274" s="30" t="s">
        <v>587</v>
      </c>
      <c r="G274" s="169">
        <v>290</v>
      </c>
      <c r="H274" s="231"/>
      <c r="I274" s="227"/>
    </row>
    <row r="275" spans="2:9" ht="13.5" thickBot="1" x14ac:dyDescent="0.35">
      <c r="B275" s="216"/>
      <c r="C275" s="104"/>
      <c r="D275" s="338"/>
      <c r="E275" s="104"/>
      <c r="F275" s="267"/>
      <c r="G275" s="174">
        <f>SUM(G269:G274)</f>
        <v>511.46000000000004</v>
      </c>
      <c r="H275" s="174">
        <f>H272</f>
        <v>3000</v>
      </c>
      <c r="I275" s="268">
        <f>SUM(G275:H275)</f>
        <v>3511.46</v>
      </c>
    </row>
    <row r="276" spans="2:9" x14ac:dyDescent="0.3">
      <c r="B276" s="86">
        <v>45992</v>
      </c>
      <c r="C276" s="87"/>
      <c r="D276" s="91">
        <v>45993</v>
      </c>
      <c r="E276" s="88" t="s">
        <v>434</v>
      </c>
      <c r="F276" s="30" t="s">
        <v>588</v>
      </c>
      <c r="G276" s="169">
        <v>500</v>
      </c>
      <c r="H276" s="176"/>
      <c r="I276" s="226"/>
    </row>
    <row r="277" spans="2:9" x14ac:dyDescent="0.3">
      <c r="B277" s="33"/>
      <c r="C277" s="27"/>
      <c r="D277" s="175">
        <v>45993</v>
      </c>
      <c r="E277" s="28" t="s">
        <v>589</v>
      </c>
      <c r="F277" s="30" t="s">
        <v>590</v>
      </c>
      <c r="G277" s="169">
        <v>38.99</v>
      </c>
      <c r="H277" s="169"/>
      <c r="I277" s="171"/>
    </row>
    <row r="278" spans="2:9" x14ac:dyDescent="0.3">
      <c r="B278" s="33"/>
      <c r="C278" s="27"/>
      <c r="D278" s="175">
        <v>46001</v>
      </c>
      <c r="E278" s="28" t="s">
        <v>596</v>
      </c>
      <c r="F278" s="30" t="s">
        <v>591</v>
      </c>
      <c r="G278" s="169">
        <v>50</v>
      </c>
      <c r="H278" s="169"/>
      <c r="I278" s="171"/>
    </row>
    <row r="279" spans="2:9" x14ac:dyDescent="0.3">
      <c r="B279" s="33"/>
      <c r="C279" s="27"/>
      <c r="D279" s="175">
        <v>46002</v>
      </c>
      <c r="E279" s="28" t="s">
        <v>274</v>
      </c>
      <c r="F279" s="30"/>
      <c r="G279" s="169"/>
      <c r="H279" s="169">
        <v>6000</v>
      </c>
      <c r="I279" s="171"/>
    </row>
    <row r="280" spans="2:9" x14ac:dyDescent="0.3">
      <c r="B280" s="33"/>
      <c r="C280" s="27"/>
      <c r="D280" s="175">
        <v>46007</v>
      </c>
      <c r="E280" s="28" t="s">
        <v>592</v>
      </c>
      <c r="F280" s="30" t="s">
        <v>593</v>
      </c>
      <c r="G280" s="169">
        <v>45.53</v>
      </c>
      <c r="H280" s="169"/>
      <c r="I280" s="171"/>
    </row>
    <row r="281" spans="2:9" x14ac:dyDescent="0.3">
      <c r="B281" s="33"/>
      <c r="C281" s="27"/>
      <c r="D281" s="175">
        <v>46009</v>
      </c>
      <c r="E281" s="28" t="s">
        <v>595</v>
      </c>
      <c r="F281" s="30" t="s">
        <v>594</v>
      </c>
      <c r="G281" s="169">
        <v>70.099999999999994</v>
      </c>
      <c r="H281" s="169"/>
      <c r="I281" s="171"/>
    </row>
    <row r="282" spans="2:9" ht="13.5" thickBot="1" x14ac:dyDescent="0.35">
      <c r="B282" s="72"/>
      <c r="C282" s="74"/>
      <c r="D282" s="367"/>
      <c r="E282" s="71"/>
      <c r="F282" s="151"/>
      <c r="G282" s="178">
        <f>SUM(G276:G281)</f>
        <v>704.62</v>
      </c>
      <c r="H282" s="178">
        <f>SUM(H277:H280)</f>
        <v>6000</v>
      </c>
      <c r="I282" s="220">
        <f>SUM(G282:H282)</f>
        <v>6704.62</v>
      </c>
    </row>
    <row r="283" spans="2:9" x14ac:dyDescent="0.3">
      <c r="B283" s="86">
        <v>46023</v>
      </c>
      <c r="C283" s="87"/>
      <c r="D283" s="91"/>
      <c r="E283" s="87"/>
      <c r="F283" s="87"/>
      <c r="G283" s="176"/>
      <c r="H283" s="176"/>
      <c r="I283" s="226"/>
    </row>
    <row r="284" spans="2:9" x14ac:dyDescent="0.3">
      <c r="B284" s="33"/>
      <c r="C284" s="27"/>
      <c r="D284" s="175"/>
      <c r="E284" s="27"/>
      <c r="F284" s="30"/>
      <c r="G284" s="169"/>
      <c r="H284" s="169"/>
      <c r="I284" s="171"/>
    </row>
    <row r="285" spans="2:9" ht="13.5" thickBot="1" x14ac:dyDescent="0.35">
      <c r="B285" s="90"/>
      <c r="C285" s="35"/>
      <c r="D285" s="366"/>
      <c r="E285" s="35"/>
      <c r="F285" s="157"/>
      <c r="G285" s="230">
        <f>SUM(G283:G284)</f>
        <v>0</v>
      </c>
      <c r="H285" s="230">
        <f>SUM(H283:H284)</f>
        <v>0</v>
      </c>
      <c r="I285" s="177">
        <f>SUM(G285:H285)</f>
        <v>0</v>
      </c>
    </row>
    <row r="286" spans="2:9" x14ac:dyDescent="0.3">
      <c r="B286" s="86">
        <v>46054</v>
      </c>
      <c r="C286" s="87"/>
      <c r="D286" s="91"/>
      <c r="E286" s="87"/>
      <c r="F286" s="89"/>
      <c r="G286" s="176"/>
      <c r="H286" s="176"/>
      <c r="I286" s="226"/>
    </row>
    <row r="287" spans="2:9" x14ac:dyDescent="0.3">
      <c r="B287" s="33"/>
      <c r="C287" s="27"/>
      <c r="D287" s="175"/>
      <c r="E287" s="27"/>
      <c r="F287" s="30"/>
      <c r="G287" s="169"/>
      <c r="H287" s="169"/>
      <c r="I287" s="171"/>
    </row>
    <row r="288" spans="2:9" x14ac:dyDescent="0.3">
      <c r="B288" s="150"/>
      <c r="C288" s="74"/>
      <c r="D288" s="175"/>
      <c r="E288" s="27"/>
      <c r="F288" s="30"/>
      <c r="G288" s="169"/>
      <c r="H288" s="169"/>
      <c r="I288" s="171"/>
    </row>
    <row r="289" spans="2:9" ht="13.5" thickBot="1" x14ac:dyDescent="0.35">
      <c r="B289" s="49"/>
      <c r="C289" s="104"/>
      <c r="D289" s="368"/>
      <c r="E289" s="279"/>
      <c r="F289" s="267"/>
      <c r="G289" s="174">
        <f>SUM(G286:G288)</f>
        <v>0</v>
      </c>
      <c r="H289" s="174">
        <f>SUM(H286:H288)</f>
        <v>0</v>
      </c>
      <c r="I289" s="268">
        <f>G289+H289</f>
        <v>0</v>
      </c>
    </row>
    <row r="290" spans="2:9" x14ac:dyDescent="0.3">
      <c r="B290" s="86">
        <v>46082</v>
      </c>
      <c r="C290" s="87"/>
      <c r="D290" s="91"/>
      <c r="E290" s="87"/>
      <c r="F290" s="89"/>
      <c r="G290" s="176"/>
      <c r="H290" s="176"/>
      <c r="I290" s="226"/>
    </row>
    <row r="291" spans="2:9" x14ac:dyDescent="0.3">
      <c r="B291" s="32"/>
      <c r="C291" s="27"/>
      <c r="D291" s="175"/>
      <c r="E291" s="28"/>
      <c r="F291" s="30"/>
      <c r="G291" s="169"/>
      <c r="H291" s="169"/>
      <c r="I291" s="171"/>
    </row>
    <row r="292" spans="2:9" x14ac:dyDescent="0.3">
      <c r="B292" s="32"/>
      <c r="C292" s="27"/>
      <c r="D292" s="175"/>
      <c r="E292" s="28"/>
      <c r="F292" s="30"/>
      <c r="G292" s="169"/>
      <c r="H292" s="169"/>
      <c r="I292" s="171"/>
    </row>
    <row r="293" spans="2:9" x14ac:dyDescent="0.3">
      <c r="B293" s="32"/>
      <c r="C293" s="27"/>
      <c r="D293" s="175"/>
      <c r="E293" s="27"/>
      <c r="F293" s="30"/>
      <c r="G293" s="169"/>
      <c r="H293" s="169"/>
      <c r="I293" s="171"/>
    </row>
    <row r="294" spans="2:9" x14ac:dyDescent="0.3">
      <c r="B294" s="32"/>
      <c r="C294" s="27"/>
      <c r="D294" s="175"/>
      <c r="E294" s="27"/>
      <c r="F294" s="30"/>
      <c r="G294" s="169"/>
      <c r="H294" s="169"/>
      <c r="I294" s="171"/>
    </row>
    <row r="295" spans="2:9" ht="13.5" thickBot="1" x14ac:dyDescent="0.35">
      <c r="B295" s="34"/>
      <c r="C295" s="35"/>
      <c r="D295" s="366"/>
      <c r="E295" s="35"/>
      <c r="F295" s="157"/>
      <c r="G295" s="230">
        <f>SUM(G290:G294)</f>
        <v>0</v>
      </c>
      <c r="H295" s="230">
        <f>SUM(H290:H294)</f>
        <v>0</v>
      </c>
      <c r="I295" s="230">
        <f>SUM(G295:H295)</f>
        <v>0</v>
      </c>
    </row>
    <row r="296" spans="2:9" ht="13.5" thickBot="1" x14ac:dyDescent="0.35">
      <c r="B296" s="233"/>
      <c r="C296" s="234"/>
      <c r="D296" s="369"/>
      <c r="E296" s="234"/>
      <c r="F296" s="235" t="s">
        <v>265</v>
      </c>
      <c r="G296" s="236">
        <f>SUM(G229,G234,G238,G245,G253,G261,G268,G275,G282,G285,G289,G295)</f>
        <v>5565.69</v>
      </c>
      <c r="H296" s="236">
        <f>SUM(H229,H234,H238,H245,H253,H261,H268,H275,H282,H285,H289,H295)</f>
        <v>33500</v>
      </c>
      <c r="I296" s="237">
        <f>SUM(G296:H296)</f>
        <v>39065.69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U517"/>
  <sheetViews>
    <sheetView topLeftCell="A412" zoomScaleNormal="100" workbookViewId="0">
      <selection activeCell="F417" sqref="F417"/>
    </sheetView>
  </sheetViews>
  <sheetFormatPr defaultRowHeight="13" x14ac:dyDescent="0.3"/>
  <cols>
    <col min="1" max="1" width="2.88671875" customWidth="1"/>
    <col min="2" max="2" width="7.44140625" bestFit="1" customWidth="1"/>
    <col min="3" max="3" width="11.109375" bestFit="1" customWidth="1"/>
    <col min="4" max="4" width="12" style="19" customWidth="1"/>
    <col min="5" max="5" width="9.5546875" style="115" customWidth="1"/>
    <col min="6" max="6" width="53.21875" customWidth="1"/>
    <col min="7" max="7" width="9.44140625" style="11" customWidth="1"/>
    <col min="8" max="8" width="8.44140625" style="11" customWidth="1"/>
    <col min="9" max="9" width="9.5546875" style="11" bestFit="1" customWidth="1"/>
    <col min="10" max="10" width="13.5546875" style="7" customWidth="1"/>
    <col min="11" max="11" width="12.109375" style="1" bestFit="1" customWidth="1"/>
    <col min="12" max="12" width="12.44140625" bestFit="1" customWidth="1"/>
    <col min="13" max="13" width="7.88671875" customWidth="1"/>
    <col min="14" max="14" width="9.88671875" customWidth="1"/>
    <col min="15" max="15" width="6.44140625" customWidth="1"/>
    <col min="16" max="16" width="77.44140625" customWidth="1"/>
    <col min="17" max="17" width="23.44140625" customWidth="1"/>
    <col min="18" max="18" width="8.6640625" customWidth="1"/>
    <col min="19" max="19" width="10.44140625" customWidth="1"/>
    <col min="20" max="20" width="15" bestFit="1" customWidth="1"/>
  </cols>
  <sheetData>
    <row r="1" spans="3:21" hidden="1" x14ac:dyDescent="0.3">
      <c r="F1" s="5" t="s">
        <v>56</v>
      </c>
    </row>
    <row r="2" spans="3:21" s="5" customFormat="1" hidden="1" x14ac:dyDescent="0.3">
      <c r="D2" s="20"/>
      <c r="E2" s="116"/>
      <c r="G2" s="12"/>
      <c r="H2" s="12"/>
      <c r="I2" s="12"/>
      <c r="J2" s="16"/>
      <c r="K2" s="8"/>
    </row>
    <row r="3" spans="3:21" hidden="1" x14ac:dyDescent="0.3">
      <c r="C3" s="4" t="s">
        <v>0</v>
      </c>
      <c r="D3" s="19" t="s">
        <v>1</v>
      </c>
      <c r="F3" t="s">
        <v>2</v>
      </c>
      <c r="G3" s="11" t="s">
        <v>22</v>
      </c>
      <c r="H3" s="11" t="s">
        <v>23</v>
      </c>
      <c r="I3" s="11" t="s">
        <v>24</v>
      </c>
      <c r="J3" s="7" t="s">
        <v>3</v>
      </c>
      <c r="L3" t="s">
        <v>4</v>
      </c>
      <c r="R3" s="5" t="s">
        <v>53</v>
      </c>
    </row>
    <row r="4" spans="3:21" hidden="1" x14ac:dyDescent="0.3">
      <c r="C4" s="1"/>
      <c r="N4" s="5"/>
      <c r="O4" s="5"/>
      <c r="P4" s="5"/>
      <c r="Q4" s="5"/>
      <c r="R4" s="5">
        <v>1504.13</v>
      </c>
      <c r="S4" s="5"/>
      <c r="T4" s="5"/>
      <c r="U4" s="5"/>
    </row>
    <row r="5" spans="3:21" hidden="1" x14ac:dyDescent="0.3">
      <c r="C5" s="1">
        <v>42430</v>
      </c>
      <c r="D5" s="19">
        <v>75</v>
      </c>
      <c r="F5" t="s">
        <v>31</v>
      </c>
      <c r="G5" s="11">
        <v>30.18</v>
      </c>
      <c r="H5" s="11">
        <v>0</v>
      </c>
      <c r="I5" s="14">
        <v>30.18</v>
      </c>
      <c r="J5" s="7">
        <v>201390</v>
      </c>
      <c r="L5" s="1">
        <v>42458</v>
      </c>
      <c r="M5" s="1"/>
      <c r="N5" s="5" t="s">
        <v>14</v>
      </c>
      <c r="O5" s="5"/>
      <c r="P5" s="5" t="s">
        <v>48</v>
      </c>
      <c r="Q5" s="5"/>
      <c r="R5" s="5" t="s">
        <v>49</v>
      </c>
      <c r="S5" s="5" t="s">
        <v>55</v>
      </c>
      <c r="T5" s="5" t="s">
        <v>54</v>
      </c>
    </row>
    <row r="6" spans="3:21" hidden="1" x14ac:dyDescent="0.3">
      <c r="C6" s="1">
        <v>42430</v>
      </c>
      <c r="D6" s="19">
        <v>76</v>
      </c>
      <c r="F6" t="s">
        <v>36</v>
      </c>
      <c r="G6" s="11">
        <v>1800</v>
      </c>
      <c r="H6" s="11">
        <v>360</v>
      </c>
      <c r="I6" s="14">
        <v>2160</v>
      </c>
      <c r="J6" s="7">
        <v>201391</v>
      </c>
      <c r="L6" s="1">
        <v>42458</v>
      </c>
      <c r="M6" s="1"/>
      <c r="N6">
        <v>64000</v>
      </c>
      <c r="P6">
        <v>6980.94</v>
      </c>
      <c r="R6" t="e">
        <f>R4-#REF!+N6+P6</f>
        <v>#REF!</v>
      </c>
      <c r="S6">
        <v>1301.5</v>
      </c>
      <c r="T6" t="e">
        <f>S6+R6</f>
        <v>#REF!</v>
      </c>
    </row>
    <row r="7" spans="3:21" hidden="1" x14ac:dyDescent="0.3">
      <c r="C7" s="1">
        <v>42430</v>
      </c>
      <c r="D7" s="19">
        <v>78</v>
      </c>
      <c r="F7" t="s">
        <v>29</v>
      </c>
      <c r="G7" s="11">
        <v>46.7</v>
      </c>
      <c r="H7" s="11">
        <v>0</v>
      </c>
      <c r="I7" s="14">
        <f t="shared" ref="I7:I14" si="0">G7+H7</f>
        <v>46.7</v>
      </c>
      <c r="J7" s="7">
        <v>201392</v>
      </c>
      <c r="L7" s="1">
        <v>42458</v>
      </c>
      <c r="M7" s="1"/>
    </row>
    <row r="8" spans="3:21" hidden="1" x14ac:dyDescent="0.3">
      <c r="C8" s="1">
        <v>42430</v>
      </c>
      <c r="D8" s="19">
        <v>79</v>
      </c>
      <c r="F8" t="s">
        <v>27</v>
      </c>
      <c r="G8" s="11">
        <v>175</v>
      </c>
      <c r="H8" s="11">
        <v>35</v>
      </c>
      <c r="I8" s="14">
        <f t="shared" si="0"/>
        <v>210</v>
      </c>
      <c r="J8" s="7">
        <v>201393</v>
      </c>
      <c r="L8" s="1">
        <v>42458</v>
      </c>
      <c r="M8" s="1"/>
    </row>
    <row r="9" spans="3:21" hidden="1" x14ac:dyDescent="0.3">
      <c r="C9" s="1">
        <v>42430</v>
      </c>
      <c r="D9" s="19">
        <v>80</v>
      </c>
      <c r="F9" t="s">
        <v>30</v>
      </c>
      <c r="G9" s="11">
        <v>335</v>
      </c>
      <c r="H9" s="11">
        <v>0</v>
      </c>
      <c r="I9" s="14">
        <f t="shared" si="0"/>
        <v>335</v>
      </c>
      <c r="J9" s="7">
        <v>201394</v>
      </c>
      <c r="L9" s="1">
        <v>42458</v>
      </c>
      <c r="M9" s="1"/>
    </row>
    <row r="10" spans="3:21" hidden="1" x14ac:dyDescent="0.3">
      <c r="C10" s="1">
        <v>42430</v>
      </c>
      <c r="D10" s="19">
        <v>81</v>
      </c>
      <c r="F10" t="s">
        <v>32</v>
      </c>
      <c r="G10" s="11">
        <v>118</v>
      </c>
      <c r="H10" s="11">
        <v>0</v>
      </c>
      <c r="I10" s="14">
        <f t="shared" si="0"/>
        <v>118</v>
      </c>
      <c r="J10" s="7">
        <v>201395</v>
      </c>
      <c r="L10" s="1">
        <v>42458</v>
      </c>
      <c r="M10" s="1"/>
      <c r="P10" t="s">
        <v>12</v>
      </c>
      <c r="R10" t="s">
        <v>13</v>
      </c>
      <c r="S10" t="s">
        <v>14</v>
      </c>
      <c r="T10">
        <v>1504.13</v>
      </c>
    </row>
    <row r="11" spans="3:21" hidden="1" x14ac:dyDescent="0.3">
      <c r="C11" s="1">
        <v>42430</v>
      </c>
      <c r="D11" s="19">
        <v>82</v>
      </c>
      <c r="F11" t="s">
        <v>33</v>
      </c>
      <c r="G11" s="11">
        <v>402.97</v>
      </c>
      <c r="H11" s="11">
        <v>0</v>
      </c>
      <c r="I11" s="14">
        <f t="shared" si="0"/>
        <v>402.97</v>
      </c>
      <c r="J11" s="7">
        <v>201396</v>
      </c>
      <c r="L11" s="1">
        <v>42458</v>
      </c>
      <c r="M11" s="1"/>
      <c r="N11" t="s">
        <v>5</v>
      </c>
      <c r="P11">
        <v>2157.27</v>
      </c>
      <c r="R11" s="2">
        <v>204</v>
      </c>
      <c r="S11">
        <v>2000</v>
      </c>
    </row>
    <row r="12" spans="3:21" hidden="1" x14ac:dyDescent="0.3">
      <c r="C12" s="1">
        <v>42430</v>
      </c>
      <c r="D12" s="19">
        <v>83</v>
      </c>
      <c r="F12" t="s">
        <v>28</v>
      </c>
      <c r="G12" s="11">
        <v>435</v>
      </c>
      <c r="H12" s="11">
        <v>87</v>
      </c>
      <c r="I12" s="14">
        <f t="shared" si="0"/>
        <v>522</v>
      </c>
      <c r="J12" s="7">
        <v>201397</v>
      </c>
      <c r="L12" s="1">
        <v>42458</v>
      </c>
      <c r="M12" s="1"/>
      <c r="N12" t="s">
        <v>7</v>
      </c>
      <c r="P12">
        <v>1438.47</v>
      </c>
      <c r="R12" s="2">
        <v>320</v>
      </c>
      <c r="S12">
        <v>1000</v>
      </c>
    </row>
    <row r="13" spans="3:21" hidden="1" x14ac:dyDescent="0.3">
      <c r="C13" s="1">
        <v>42430</v>
      </c>
      <c r="D13" s="19">
        <v>84</v>
      </c>
      <c r="F13" t="s">
        <v>34</v>
      </c>
      <c r="G13" s="11">
        <v>80.42</v>
      </c>
      <c r="H13" s="11">
        <v>12.02</v>
      </c>
      <c r="I13" s="14">
        <f t="shared" si="0"/>
        <v>92.44</v>
      </c>
      <c r="J13" s="7">
        <v>201398</v>
      </c>
      <c r="L13" s="1">
        <v>42458</v>
      </c>
      <c r="M13" s="1"/>
      <c r="N13" t="s">
        <v>8</v>
      </c>
      <c r="P13" s="3">
        <v>2850.67</v>
      </c>
      <c r="Q13" s="3"/>
      <c r="R13" s="2">
        <v>1275.1600000000001</v>
      </c>
      <c r="S13">
        <v>1000</v>
      </c>
    </row>
    <row r="14" spans="3:21" hidden="1" x14ac:dyDescent="0.3">
      <c r="C14" s="1">
        <v>42430</v>
      </c>
      <c r="D14" s="19">
        <v>85</v>
      </c>
      <c r="F14" t="s">
        <v>35</v>
      </c>
      <c r="G14" s="11">
        <v>34</v>
      </c>
      <c r="H14" s="11">
        <v>0</v>
      </c>
      <c r="I14" s="14">
        <f t="shared" si="0"/>
        <v>34</v>
      </c>
      <c r="J14" s="7">
        <v>201399</v>
      </c>
      <c r="L14" s="1">
        <v>42458</v>
      </c>
      <c r="M14" s="1"/>
      <c r="N14" t="s">
        <v>9</v>
      </c>
      <c r="P14" s="3">
        <v>273.67</v>
      </c>
      <c r="Q14" s="3"/>
      <c r="R14" s="2">
        <v>160</v>
      </c>
      <c r="T14" s="4"/>
    </row>
    <row r="15" spans="3:21" hidden="1" x14ac:dyDescent="0.3">
      <c r="C15" s="1">
        <v>42433</v>
      </c>
      <c r="D15" s="19">
        <v>86</v>
      </c>
      <c r="F15" t="s">
        <v>47</v>
      </c>
      <c r="G15" s="11">
        <v>20</v>
      </c>
      <c r="H15" s="11">
        <v>0</v>
      </c>
      <c r="I15" s="14">
        <v>20</v>
      </c>
      <c r="J15" s="7">
        <v>201501</v>
      </c>
      <c r="L15" s="1">
        <v>42458</v>
      </c>
      <c r="M15" s="1"/>
      <c r="N15" t="s">
        <v>10</v>
      </c>
      <c r="P15" s="3">
        <v>572.47</v>
      </c>
      <c r="Q15" s="3"/>
      <c r="R15" s="4"/>
      <c r="S15">
        <v>44000</v>
      </c>
    </row>
    <row r="16" spans="3:21" hidden="1" x14ac:dyDescent="0.3">
      <c r="C16" s="1">
        <v>42433</v>
      </c>
      <c r="D16" s="19">
        <v>87</v>
      </c>
      <c r="F16" t="s">
        <v>21</v>
      </c>
      <c r="G16" s="11">
        <v>25</v>
      </c>
      <c r="I16" s="14">
        <f t="shared" ref="I16:I28" si="1">G16+H16</f>
        <v>25</v>
      </c>
      <c r="J16" s="7">
        <v>201502</v>
      </c>
      <c r="L16" s="1">
        <v>42458</v>
      </c>
      <c r="M16" s="1"/>
      <c r="N16" t="s">
        <v>11</v>
      </c>
      <c r="P16" s="3">
        <v>45341.8</v>
      </c>
      <c r="Q16" s="3"/>
      <c r="R16" s="2"/>
      <c r="S16">
        <v>2000</v>
      </c>
    </row>
    <row r="17" spans="3:19" hidden="1" x14ac:dyDescent="0.3">
      <c r="C17" s="1">
        <v>42433</v>
      </c>
      <c r="D17" s="19">
        <v>88</v>
      </c>
      <c r="F17" t="s">
        <v>6</v>
      </c>
      <c r="G17" s="11">
        <v>10</v>
      </c>
      <c r="I17" s="14">
        <f t="shared" si="1"/>
        <v>10</v>
      </c>
      <c r="J17" s="7">
        <v>201400</v>
      </c>
      <c r="L17" s="1">
        <v>42458</v>
      </c>
      <c r="M17" s="1"/>
      <c r="N17" t="s">
        <v>15</v>
      </c>
      <c r="P17" s="3">
        <v>1274.52</v>
      </c>
      <c r="Q17" s="3"/>
      <c r="R17" s="2"/>
      <c r="S17">
        <v>2000</v>
      </c>
    </row>
    <row r="18" spans="3:19" hidden="1" x14ac:dyDescent="0.3">
      <c r="C18" s="1">
        <v>42444</v>
      </c>
      <c r="D18" s="19">
        <v>89</v>
      </c>
      <c r="F18" t="s">
        <v>25</v>
      </c>
      <c r="G18" s="11">
        <v>12.96</v>
      </c>
      <c r="I18" s="14">
        <f t="shared" si="1"/>
        <v>12.96</v>
      </c>
      <c r="J18" s="7">
        <v>201503</v>
      </c>
      <c r="L18" s="1">
        <v>42458</v>
      </c>
      <c r="M18" s="1"/>
      <c r="N18" t="s">
        <v>16</v>
      </c>
      <c r="P18" s="3">
        <v>1937.13</v>
      </c>
      <c r="Q18" s="3"/>
      <c r="R18" s="2">
        <v>466</v>
      </c>
      <c r="S18">
        <v>2000</v>
      </c>
    </row>
    <row r="19" spans="3:19" hidden="1" x14ac:dyDescent="0.3">
      <c r="C19" s="1">
        <v>42444</v>
      </c>
      <c r="D19" s="19">
        <v>90</v>
      </c>
      <c r="F19" t="s">
        <v>36</v>
      </c>
      <c r="G19" s="11">
        <v>913.75</v>
      </c>
      <c r="H19" s="11">
        <v>182.75</v>
      </c>
      <c r="I19" s="14">
        <f t="shared" si="1"/>
        <v>1096.5</v>
      </c>
      <c r="J19" s="7">
        <v>201504</v>
      </c>
      <c r="L19" s="1">
        <v>42458</v>
      </c>
      <c r="M19" s="1"/>
      <c r="N19" t="s">
        <v>17</v>
      </c>
      <c r="P19" s="3">
        <v>2712.42</v>
      </c>
      <c r="Q19" s="3"/>
      <c r="R19" s="2">
        <v>131</v>
      </c>
      <c r="S19">
        <v>1000</v>
      </c>
    </row>
    <row r="20" spans="3:19" hidden="1" x14ac:dyDescent="0.3">
      <c r="C20" s="1">
        <v>42444</v>
      </c>
      <c r="D20" s="19">
        <v>91</v>
      </c>
      <c r="F20" t="s">
        <v>37</v>
      </c>
      <c r="G20" s="11">
        <v>70.349999999999994</v>
      </c>
      <c r="H20" s="11">
        <v>14.07</v>
      </c>
      <c r="I20" s="14">
        <f t="shared" si="1"/>
        <v>84.419999999999987</v>
      </c>
      <c r="J20" s="7">
        <v>201505</v>
      </c>
      <c r="L20" s="1">
        <v>42458</v>
      </c>
      <c r="M20" s="1"/>
      <c r="N20" t="s">
        <v>18</v>
      </c>
      <c r="P20" s="3">
        <v>1636.82</v>
      </c>
      <c r="Q20" s="3"/>
      <c r="R20" s="2">
        <v>760.73</v>
      </c>
      <c r="S20">
        <v>2000</v>
      </c>
    </row>
    <row r="21" spans="3:19" hidden="1" x14ac:dyDescent="0.3">
      <c r="C21" s="1">
        <v>42444</v>
      </c>
      <c r="D21" s="19">
        <v>92</v>
      </c>
      <c r="F21" t="s">
        <v>38</v>
      </c>
      <c r="G21" s="11">
        <v>26.53</v>
      </c>
      <c r="H21" s="11">
        <v>0</v>
      </c>
      <c r="I21" s="14">
        <f t="shared" si="1"/>
        <v>26.53</v>
      </c>
      <c r="J21" s="7">
        <v>201506</v>
      </c>
      <c r="L21" s="1">
        <v>42458</v>
      </c>
      <c r="M21" s="1"/>
      <c r="N21" t="s">
        <v>19</v>
      </c>
      <c r="P21" s="3">
        <v>1543.48</v>
      </c>
      <c r="Q21" s="3"/>
      <c r="R21" s="3">
        <v>464.34</v>
      </c>
      <c r="S21" s="3"/>
    </row>
    <row r="22" spans="3:19" hidden="1" x14ac:dyDescent="0.3">
      <c r="C22" s="1">
        <v>42444</v>
      </c>
      <c r="D22" s="19">
        <v>93</v>
      </c>
      <c r="F22" t="s">
        <v>31</v>
      </c>
      <c r="G22" s="11">
        <v>200</v>
      </c>
      <c r="H22" s="11">
        <v>0</v>
      </c>
      <c r="I22" s="14">
        <f t="shared" si="1"/>
        <v>200</v>
      </c>
      <c r="J22" s="7">
        <v>201507</v>
      </c>
      <c r="L22" s="1">
        <v>42458</v>
      </c>
      <c r="M22" s="1"/>
      <c r="N22" t="s">
        <v>20</v>
      </c>
      <c r="P22" s="3">
        <v>10248.6</v>
      </c>
      <c r="Q22" s="3"/>
      <c r="R22" s="3">
        <v>3199.71</v>
      </c>
      <c r="S22" s="3">
        <v>7000</v>
      </c>
    </row>
    <row r="23" spans="3:19" hidden="1" x14ac:dyDescent="0.3">
      <c r="C23" s="1">
        <v>42444</v>
      </c>
      <c r="D23" s="19">
        <v>94</v>
      </c>
      <c r="F23" t="s">
        <v>39</v>
      </c>
      <c r="G23" s="11">
        <v>180</v>
      </c>
      <c r="H23" s="11">
        <v>0</v>
      </c>
      <c r="I23" s="14">
        <f t="shared" si="1"/>
        <v>180</v>
      </c>
      <c r="J23" s="7">
        <v>201508</v>
      </c>
      <c r="L23" s="1">
        <v>42458</v>
      </c>
      <c r="M23" s="1"/>
      <c r="P23">
        <f>SUM(P11:P22)</f>
        <v>71987.320000000007</v>
      </c>
      <c r="R23">
        <f>SUM(R11:R22)</f>
        <v>6980.9400000000005</v>
      </c>
      <c r="S23">
        <f>SUM(S11:S22)</f>
        <v>64000</v>
      </c>
    </row>
    <row r="24" spans="3:19" hidden="1" x14ac:dyDescent="0.3">
      <c r="C24" s="1">
        <v>42444</v>
      </c>
      <c r="D24" s="19">
        <v>95</v>
      </c>
      <c r="F24" t="s">
        <v>39</v>
      </c>
      <c r="G24" s="11">
        <v>308</v>
      </c>
      <c r="H24" s="11">
        <v>0</v>
      </c>
      <c r="I24" s="14">
        <f t="shared" si="1"/>
        <v>308</v>
      </c>
      <c r="J24" s="7">
        <v>201508</v>
      </c>
      <c r="L24" s="1">
        <v>42458</v>
      </c>
      <c r="M24" s="1"/>
    </row>
    <row r="25" spans="3:19" hidden="1" x14ac:dyDescent="0.3">
      <c r="C25" s="1">
        <v>42444</v>
      </c>
      <c r="D25" s="19">
        <v>96</v>
      </c>
      <c r="F25" t="s">
        <v>40</v>
      </c>
      <c r="G25" s="11">
        <v>9.99</v>
      </c>
      <c r="H25" s="11">
        <v>2</v>
      </c>
      <c r="I25" s="14">
        <f t="shared" si="1"/>
        <v>11.99</v>
      </c>
      <c r="J25" s="7">
        <v>201509</v>
      </c>
      <c r="L25" s="1">
        <v>42458</v>
      </c>
      <c r="M25" s="1"/>
    </row>
    <row r="26" spans="3:19" hidden="1" x14ac:dyDescent="0.3">
      <c r="C26" s="1">
        <v>42444</v>
      </c>
      <c r="D26" s="19">
        <v>97</v>
      </c>
      <c r="F26" t="s">
        <v>41</v>
      </c>
      <c r="G26" s="11">
        <v>1675</v>
      </c>
      <c r="H26" s="11">
        <v>0</v>
      </c>
      <c r="I26" s="14">
        <f t="shared" si="1"/>
        <v>1675</v>
      </c>
      <c r="J26" s="7">
        <v>201510</v>
      </c>
      <c r="L26" s="1">
        <v>42458</v>
      </c>
      <c r="M26" s="1"/>
    </row>
    <row r="27" spans="3:19" hidden="1" x14ac:dyDescent="0.3">
      <c r="C27" s="1">
        <v>42444</v>
      </c>
      <c r="D27" s="19">
        <v>98</v>
      </c>
      <c r="F27" t="s">
        <v>42</v>
      </c>
      <c r="G27" s="11">
        <v>25</v>
      </c>
      <c r="H27" s="11">
        <v>0</v>
      </c>
      <c r="I27" s="14">
        <f t="shared" si="1"/>
        <v>25</v>
      </c>
      <c r="J27" s="7">
        <v>201511</v>
      </c>
      <c r="L27" s="1">
        <v>42458</v>
      </c>
      <c r="M27" s="1"/>
    </row>
    <row r="28" spans="3:19" hidden="1" x14ac:dyDescent="0.3">
      <c r="C28" s="1">
        <v>42444</v>
      </c>
      <c r="D28" s="19">
        <v>99</v>
      </c>
      <c r="F28" t="s">
        <v>43</v>
      </c>
      <c r="G28" s="11">
        <v>49.12</v>
      </c>
      <c r="H28" s="11">
        <v>9.83</v>
      </c>
      <c r="I28" s="14">
        <f t="shared" si="1"/>
        <v>58.949999999999996</v>
      </c>
      <c r="J28" s="7">
        <v>201512</v>
      </c>
      <c r="L28" s="1">
        <v>42458</v>
      </c>
      <c r="M28" s="1"/>
    </row>
    <row r="29" spans="3:19" hidden="1" x14ac:dyDescent="0.3">
      <c r="C29" s="1">
        <v>42444</v>
      </c>
      <c r="D29" s="19">
        <v>100</v>
      </c>
      <c r="F29" t="s">
        <v>44</v>
      </c>
      <c r="G29" s="11">
        <v>180</v>
      </c>
      <c r="H29" s="11">
        <v>0</v>
      </c>
      <c r="I29" s="14">
        <v>180</v>
      </c>
      <c r="J29" s="7">
        <v>201513</v>
      </c>
      <c r="L29" s="1">
        <v>42458</v>
      </c>
      <c r="M29" s="1"/>
    </row>
    <row r="30" spans="3:19" hidden="1" x14ac:dyDescent="0.3">
      <c r="C30" s="1">
        <v>42448</v>
      </c>
      <c r="D30" s="19">
        <v>97</v>
      </c>
      <c r="F30" t="s">
        <v>41</v>
      </c>
      <c r="G30" s="11">
        <v>1675</v>
      </c>
      <c r="H30" s="11">
        <v>0</v>
      </c>
      <c r="I30" s="11">
        <v>1675</v>
      </c>
      <c r="J30" s="7">
        <v>201514</v>
      </c>
      <c r="L30" s="1">
        <v>42458</v>
      </c>
      <c r="M30" s="1"/>
    </row>
    <row r="31" spans="3:19" hidden="1" x14ac:dyDescent="0.3">
      <c r="C31" s="1">
        <v>42448</v>
      </c>
      <c r="D31" s="19">
        <v>97</v>
      </c>
      <c r="F31" t="s">
        <v>41</v>
      </c>
      <c r="H31" s="11">
        <v>0</v>
      </c>
      <c r="J31" s="7" t="s">
        <v>46</v>
      </c>
      <c r="L31" s="1">
        <v>42458</v>
      </c>
      <c r="M31" s="1"/>
    </row>
    <row r="32" spans="3:19" hidden="1" x14ac:dyDescent="0.3">
      <c r="C32" s="1">
        <v>42448</v>
      </c>
      <c r="D32" s="19" t="s">
        <v>57</v>
      </c>
      <c r="F32" t="s">
        <v>41</v>
      </c>
      <c r="G32" s="11">
        <v>15</v>
      </c>
      <c r="H32" s="11">
        <v>0</v>
      </c>
      <c r="I32" s="11">
        <v>15</v>
      </c>
      <c r="J32" s="7" t="s">
        <v>45</v>
      </c>
      <c r="L32" s="1">
        <v>42458</v>
      </c>
      <c r="M32" s="1"/>
    </row>
    <row r="33" spans="2:20" hidden="1" x14ac:dyDescent="0.3">
      <c r="C33" s="1">
        <v>42458</v>
      </c>
      <c r="D33" s="19" t="s">
        <v>26</v>
      </c>
      <c r="F33" t="s">
        <v>50</v>
      </c>
      <c r="G33" s="11">
        <v>693</v>
      </c>
      <c r="H33" s="11">
        <v>0</v>
      </c>
      <c r="I33" s="11">
        <v>693</v>
      </c>
      <c r="J33" s="7" t="s">
        <v>26</v>
      </c>
      <c r="L33" s="1">
        <v>42458</v>
      </c>
      <c r="M33" s="1"/>
    </row>
    <row r="34" spans="2:20" hidden="1" x14ac:dyDescent="0.3">
      <c r="G34" s="11">
        <f>SUM(G5:G33)</f>
        <v>9545.9700000000012</v>
      </c>
      <c r="H34" s="11">
        <f>SUM(H5:H33)</f>
        <v>702.67000000000007</v>
      </c>
      <c r="I34" s="11">
        <f>SUM(I5:I33)</f>
        <v>10248.64</v>
      </c>
    </row>
    <row r="35" spans="2:20" hidden="1" x14ac:dyDescent="0.3"/>
    <row r="36" spans="2:20" hidden="1" x14ac:dyDescent="0.3">
      <c r="T36" s="5" t="s">
        <v>68</v>
      </c>
    </row>
    <row r="37" spans="2:20" hidden="1" x14ac:dyDescent="0.3">
      <c r="B37" s="6">
        <v>42461</v>
      </c>
      <c r="C37" s="1">
        <v>42465</v>
      </c>
      <c r="D37" s="21">
        <v>101</v>
      </c>
      <c r="E37" s="117"/>
      <c r="F37" t="s">
        <v>58</v>
      </c>
      <c r="G37" s="11">
        <v>402.97</v>
      </c>
      <c r="H37" s="11">
        <v>0</v>
      </c>
      <c r="I37" s="11">
        <f t="shared" ref="I37:I47" si="2">G37+H37</f>
        <v>402.97</v>
      </c>
      <c r="J37" s="7">
        <v>201515</v>
      </c>
      <c r="L37" s="1">
        <v>42499</v>
      </c>
      <c r="M37" s="1"/>
      <c r="N37" s="5"/>
      <c r="O37" s="5"/>
      <c r="P37" s="5" t="s">
        <v>12</v>
      </c>
      <c r="Q37" s="5"/>
      <c r="R37" s="5" t="s">
        <v>13</v>
      </c>
      <c r="S37" s="5" t="s">
        <v>14</v>
      </c>
      <c r="T37" s="5">
        <v>497.7</v>
      </c>
    </row>
    <row r="38" spans="2:20" hidden="1" x14ac:dyDescent="0.3">
      <c r="C38" s="1">
        <v>42465</v>
      </c>
      <c r="D38" s="21">
        <v>102</v>
      </c>
      <c r="E38" s="117"/>
      <c r="F38" t="s">
        <v>59</v>
      </c>
      <c r="G38" s="11">
        <v>33</v>
      </c>
      <c r="H38" s="11">
        <v>0</v>
      </c>
      <c r="I38" s="11">
        <f t="shared" si="2"/>
        <v>33</v>
      </c>
      <c r="J38" s="7">
        <v>201516</v>
      </c>
      <c r="L38" s="1">
        <v>42499</v>
      </c>
      <c r="M38" s="1"/>
      <c r="N38" s="5" t="s">
        <v>5</v>
      </c>
      <c r="O38" s="5"/>
      <c r="P38">
        <v>2016.22</v>
      </c>
      <c r="R38">
        <v>1270.08</v>
      </c>
      <c r="S38">
        <v>1000</v>
      </c>
      <c r="T38">
        <f>T37-P38+R38+S38</f>
        <v>751.56</v>
      </c>
    </row>
    <row r="39" spans="2:20" hidden="1" x14ac:dyDescent="0.3">
      <c r="C39" s="1">
        <v>42465</v>
      </c>
      <c r="D39" s="21">
        <v>103</v>
      </c>
      <c r="E39" s="117"/>
      <c r="F39" t="s">
        <v>60</v>
      </c>
      <c r="G39" s="11">
        <v>525</v>
      </c>
      <c r="H39" s="11">
        <v>105</v>
      </c>
      <c r="I39" s="11">
        <f t="shared" si="2"/>
        <v>630</v>
      </c>
      <c r="J39" s="7">
        <v>201517</v>
      </c>
      <c r="L39" s="1">
        <v>42499</v>
      </c>
      <c r="M39" s="1"/>
      <c r="N39" s="5" t="s">
        <v>7</v>
      </c>
      <c r="O39" s="5"/>
      <c r="P39">
        <v>9388.1</v>
      </c>
      <c r="R39">
        <v>153.28</v>
      </c>
      <c r="S39">
        <v>9000</v>
      </c>
      <c r="T39">
        <f>T38+S39+R39-P39</f>
        <v>516.73999999999978</v>
      </c>
    </row>
    <row r="40" spans="2:20" hidden="1" x14ac:dyDescent="0.3">
      <c r="C40" s="1">
        <v>42465</v>
      </c>
      <c r="D40" s="21">
        <v>104</v>
      </c>
      <c r="E40" s="117"/>
      <c r="F40" t="s">
        <v>61</v>
      </c>
      <c r="G40" s="11">
        <v>173.34</v>
      </c>
      <c r="H40" s="11">
        <v>34.67</v>
      </c>
      <c r="I40" s="11">
        <f t="shared" si="2"/>
        <v>208.01</v>
      </c>
      <c r="J40" s="7">
        <v>201518</v>
      </c>
      <c r="L40" s="1">
        <v>42499</v>
      </c>
      <c r="M40" s="1"/>
      <c r="N40" s="5" t="s">
        <v>8</v>
      </c>
      <c r="O40" s="5"/>
      <c r="P40">
        <v>2696.46</v>
      </c>
      <c r="R40">
        <v>530.44000000000005</v>
      </c>
      <c r="S40">
        <v>3000</v>
      </c>
      <c r="T40">
        <f>T39-P40+R40+S40</f>
        <v>1350.7199999999998</v>
      </c>
    </row>
    <row r="41" spans="2:20" hidden="1" x14ac:dyDescent="0.3">
      <c r="C41" s="1">
        <v>42465</v>
      </c>
      <c r="D41" s="21">
        <v>105</v>
      </c>
      <c r="E41" s="117"/>
      <c r="F41" t="s">
        <v>62</v>
      </c>
      <c r="G41" s="11">
        <v>9.99</v>
      </c>
      <c r="H41" s="11">
        <v>0</v>
      </c>
      <c r="I41" s="11">
        <f t="shared" si="2"/>
        <v>9.99</v>
      </c>
      <c r="J41" s="7">
        <v>201519</v>
      </c>
      <c r="L41" s="1">
        <v>42499</v>
      </c>
      <c r="M41" s="1"/>
      <c r="N41" s="5" t="s">
        <v>9</v>
      </c>
      <c r="O41" s="5"/>
      <c r="P41">
        <v>1894.61</v>
      </c>
      <c r="R41">
        <v>398.08</v>
      </c>
      <c r="S41">
        <v>2000</v>
      </c>
      <c r="T41" s="4">
        <f>T40-P41+R41+S41</f>
        <v>1854.1899999999998</v>
      </c>
    </row>
    <row r="42" spans="2:20" hidden="1" x14ac:dyDescent="0.3">
      <c r="C42" s="1">
        <v>42465</v>
      </c>
      <c r="D42" s="21">
        <v>106</v>
      </c>
      <c r="E42" s="117"/>
      <c r="F42" t="s">
        <v>63</v>
      </c>
      <c r="G42" s="11">
        <v>44.62</v>
      </c>
      <c r="H42" s="11">
        <v>0</v>
      </c>
      <c r="I42" s="11">
        <f t="shared" si="2"/>
        <v>44.62</v>
      </c>
      <c r="J42" s="7">
        <v>201520</v>
      </c>
      <c r="L42" s="1">
        <v>42499</v>
      </c>
      <c r="M42" s="1"/>
      <c r="N42" s="5" t="s">
        <v>10</v>
      </c>
      <c r="O42" s="5"/>
      <c r="P42">
        <v>993.64</v>
      </c>
      <c r="R42" s="4">
        <v>382.44</v>
      </c>
      <c r="S42">
        <v>0</v>
      </c>
      <c r="T42">
        <f>T41-P42+R42</f>
        <v>1242.9899999999998</v>
      </c>
    </row>
    <row r="43" spans="2:20" hidden="1" x14ac:dyDescent="0.3">
      <c r="C43" s="1">
        <v>42465</v>
      </c>
      <c r="D43" s="21">
        <v>107</v>
      </c>
      <c r="E43" s="117"/>
      <c r="F43" t="s">
        <v>35</v>
      </c>
      <c r="G43" s="11">
        <v>33</v>
      </c>
      <c r="H43" s="11">
        <v>0</v>
      </c>
      <c r="I43" s="11">
        <f t="shared" si="2"/>
        <v>33</v>
      </c>
      <c r="J43" s="7">
        <v>201521</v>
      </c>
      <c r="L43" s="1">
        <v>42499</v>
      </c>
      <c r="M43" s="1"/>
      <c r="N43" s="5" t="s">
        <v>11</v>
      </c>
      <c r="O43" s="5"/>
      <c r="P43">
        <v>1776.71</v>
      </c>
      <c r="R43">
        <v>328.93</v>
      </c>
      <c r="S43">
        <v>1500</v>
      </c>
      <c r="T43">
        <f>T42-P43+R43+S43</f>
        <v>1295.2099999999998</v>
      </c>
    </row>
    <row r="44" spans="2:20" hidden="1" x14ac:dyDescent="0.3">
      <c r="C44" s="1">
        <v>42473</v>
      </c>
      <c r="D44" s="21" t="s">
        <v>57</v>
      </c>
      <c r="E44" s="117"/>
      <c r="F44" t="s">
        <v>67</v>
      </c>
      <c r="G44" s="11">
        <v>15</v>
      </c>
      <c r="H44" s="11">
        <v>0</v>
      </c>
      <c r="I44" s="11">
        <f t="shared" si="2"/>
        <v>15</v>
      </c>
      <c r="J44" s="7" t="s">
        <v>57</v>
      </c>
      <c r="L44" s="1">
        <v>42499</v>
      </c>
      <c r="M44" s="1"/>
      <c r="N44" s="5" t="s">
        <v>15</v>
      </c>
      <c r="O44" s="5"/>
      <c r="P44">
        <v>2191.0500000000002</v>
      </c>
      <c r="R44">
        <v>676.14</v>
      </c>
      <c r="S44">
        <v>2000</v>
      </c>
      <c r="T44">
        <f>T43-P44+R44+S44</f>
        <v>1780.2999999999997</v>
      </c>
    </row>
    <row r="45" spans="2:20" hidden="1" x14ac:dyDescent="0.3">
      <c r="C45" s="1">
        <v>42473</v>
      </c>
      <c r="D45" s="21" t="s">
        <v>57</v>
      </c>
      <c r="E45" s="117"/>
      <c r="F45" t="s">
        <v>67</v>
      </c>
      <c r="G45" s="11">
        <v>1.63</v>
      </c>
      <c r="H45" s="11">
        <v>0</v>
      </c>
      <c r="I45" s="11">
        <f t="shared" si="2"/>
        <v>1.63</v>
      </c>
      <c r="J45" s="7" t="s">
        <v>57</v>
      </c>
      <c r="L45" s="1">
        <v>42499</v>
      </c>
      <c r="M45" s="1"/>
      <c r="N45" s="5" t="s">
        <v>16</v>
      </c>
      <c r="O45" s="5"/>
      <c r="P45">
        <v>2045.46</v>
      </c>
      <c r="R45">
        <v>992</v>
      </c>
      <c r="S45">
        <v>0</v>
      </c>
      <c r="T45">
        <f>T44-P45+R45</f>
        <v>726.83999999999969</v>
      </c>
    </row>
    <row r="46" spans="2:20" hidden="1" x14ac:dyDescent="0.3">
      <c r="C46" s="1">
        <v>42481</v>
      </c>
      <c r="D46" s="21" t="s">
        <v>57</v>
      </c>
      <c r="E46" s="117"/>
      <c r="F46" t="s">
        <v>67</v>
      </c>
      <c r="G46" s="11">
        <v>8</v>
      </c>
      <c r="H46" s="11">
        <v>0</v>
      </c>
      <c r="I46" s="11">
        <f t="shared" si="2"/>
        <v>8</v>
      </c>
      <c r="J46" s="7" t="s">
        <v>57</v>
      </c>
      <c r="L46" s="1">
        <v>42499</v>
      </c>
      <c r="M46" s="1"/>
      <c r="N46" s="5" t="s">
        <v>17</v>
      </c>
      <c r="O46" s="5"/>
      <c r="P46" s="11">
        <v>22289.43</v>
      </c>
      <c r="Q46" s="11"/>
      <c r="R46" s="11">
        <v>161.6</v>
      </c>
      <c r="S46" s="11">
        <v>21500</v>
      </c>
      <c r="T46" s="11">
        <f>T45-P46+R46+S46</f>
        <v>99.009999999998399</v>
      </c>
    </row>
    <row r="47" spans="2:20" hidden="1" x14ac:dyDescent="0.3">
      <c r="C47" s="1">
        <v>42487</v>
      </c>
      <c r="D47" s="21">
        <v>103</v>
      </c>
      <c r="E47" s="117"/>
      <c r="F47" t="s">
        <v>60</v>
      </c>
      <c r="G47" s="11">
        <v>525</v>
      </c>
      <c r="H47" s="11">
        <v>105</v>
      </c>
      <c r="I47" s="11">
        <f t="shared" si="2"/>
        <v>630</v>
      </c>
      <c r="J47" s="7">
        <v>201522</v>
      </c>
      <c r="L47" s="1">
        <v>42499</v>
      </c>
      <c r="M47" s="1"/>
      <c r="N47" s="5" t="s">
        <v>18</v>
      </c>
      <c r="O47" s="5"/>
      <c r="P47">
        <v>1790.29</v>
      </c>
      <c r="R47">
        <v>129.91999999999999</v>
      </c>
      <c r="S47">
        <v>2500</v>
      </c>
      <c r="T47" s="11">
        <f>T46-P47+R47+S47</f>
        <v>938.63999999999851</v>
      </c>
    </row>
    <row r="48" spans="2:20" hidden="1" x14ac:dyDescent="0.3">
      <c r="C48" s="1"/>
      <c r="D48" s="21"/>
      <c r="E48" s="117"/>
      <c r="G48" s="12">
        <f>SUM(G37:G47)</f>
        <v>1771.55</v>
      </c>
      <c r="H48" s="12">
        <f>SUM(H37:H47)</f>
        <v>244.67000000000002</v>
      </c>
      <c r="I48" s="12">
        <f>SUM(I37:I47)</f>
        <v>2016.22</v>
      </c>
      <c r="N48" s="5" t="s">
        <v>19</v>
      </c>
      <c r="O48" s="5"/>
      <c r="P48">
        <v>1256.95</v>
      </c>
      <c r="R48">
        <v>765.51</v>
      </c>
      <c r="S48">
        <v>0</v>
      </c>
      <c r="T48" s="11">
        <f>T47-P48+R48</f>
        <v>447.19999999999845</v>
      </c>
    </row>
    <row r="49" spans="3:20" hidden="1" x14ac:dyDescent="0.3">
      <c r="D49" s="21"/>
      <c r="E49" s="117"/>
      <c r="N49" s="5" t="s">
        <v>20</v>
      </c>
      <c r="O49" s="5"/>
      <c r="P49">
        <v>2823.77</v>
      </c>
      <c r="R49">
        <v>359.96</v>
      </c>
      <c r="S49">
        <v>3000</v>
      </c>
      <c r="T49" s="11">
        <f>T48-P49+R49+S49</f>
        <v>983.38999999999851</v>
      </c>
    </row>
    <row r="50" spans="3:20" hidden="1" x14ac:dyDescent="0.3">
      <c r="C50" s="1">
        <v>42493</v>
      </c>
      <c r="D50" s="21">
        <v>108</v>
      </c>
      <c r="E50" s="117"/>
      <c r="F50" t="s">
        <v>25</v>
      </c>
      <c r="G50" s="11">
        <v>6.6</v>
      </c>
      <c r="H50" s="11">
        <v>0</v>
      </c>
      <c r="I50" s="11">
        <v>6.6</v>
      </c>
      <c r="J50" s="7">
        <v>201523</v>
      </c>
      <c r="L50" s="1">
        <v>42528</v>
      </c>
      <c r="M50" s="1"/>
    </row>
    <row r="51" spans="3:20" hidden="1" x14ac:dyDescent="0.3">
      <c r="C51" s="1">
        <v>42493</v>
      </c>
      <c r="D51" s="21">
        <v>109</v>
      </c>
      <c r="E51" s="117"/>
      <c r="F51" t="s">
        <v>69</v>
      </c>
      <c r="G51" s="11">
        <v>30</v>
      </c>
      <c r="H51" s="11">
        <v>0</v>
      </c>
      <c r="I51" s="11">
        <v>30</v>
      </c>
      <c r="J51" s="7">
        <v>201524</v>
      </c>
      <c r="L51" s="1">
        <v>42528</v>
      </c>
      <c r="M51" s="1"/>
      <c r="P51">
        <f>SUM(P38:P50)</f>
        <v>51162.689999999988</v>
      </c>
      <c r="R51">
        <f>SUM(R38:R50)</f>
        <v>6148.38</v>
      </c>
      <c r="S51">
        <f>SUM(S38:S50)</f>
        <v>45500</v>
      </c>
    </row>
    <row r="52" spans="3:20" hidden="1" x14ac:dyDescent="0.3">
      <c r="C52" s="1">
        <v>42493</v>
      </c>
      <c r="D52" s="21">
        <v>110</v>
      </c>
      <c r="E52" s="117"/>
      <c r="F52" t="s">
        <v>70</v>
      </c>
      <c r="G52" s="11">
        <v>50</v>
      </c>
      <c r="H52" s="11">
        <v>0</v>
      </c>
      <c r="I52" s="11">
        <v>50</v>
      </c>
      <c r="J52" s="7">
        <v>201525</v>
      </c>
      <c r="L52" s="1">
        <v>42528</v>
      </c>
      <c r="M52" s="1"/>
    </row>
    <row r="53" spans="3:20" hidden="1" x14ac:dyDescent="0.3">
      <c r="C53" s="1">
        <v>42493</v>
      </c>
      <c r="D53" s="21">
        <v>111</v>
      </c>
      <c r="E53" s="117"/>
      <c r="F53" t="s">
        <v>71</v>
      </c>
      <c r="G53" s="11">
        <v>180</v>
      </c>
      <c r="H53" s="11">
        <v>0</v>
      </c>
      <c r="I53" s="11">
        <v>180</v>
      </c>
      <c r="J53" s="7">
        <v>201526</v>
      </c>
      <c r="L53" s="1">
        <v>42528</v>
      </c>
      <c r="M53" s="1"/>
    </row>
    <row r="54" spans="3:20" hidden="1" x14ac:dyDescent="0.3">
      <c r="C54" s="1">
        <v>42493</v>
      </c>
      <c r="D54" s="21">
        <v>112</v>
      </c>
      <c r="E54" s="117"/>
      <c r="F54" t="s">
        <v>72</v>
      </c>
      <c r="G54" s="11">
        <v>402.97</v>
      </c>
      <c r="H54" s="11">
        <v>0</v>
      </c>
      <c r="I54" s="11">
        <f t="shared" ref="I54:I64" si="3">G54+H54</f>
        <v>402.97</v>
      </c>
      <c r="J54" s="7">
        <v>201527</v>
      </c>
      <c r="L54" s="1">
        <v>42528</v>
      </c>
      <c r="M54" s="1"/>
    </row>
    <row r="55" spans="3:20" hidden="1" x14ac:dyDescent="0.3">
      <c r="C55" s="1">
        <v>42493</v>
      </c>
      <c r="D55" s="21">
        <v>113</v>
      </c>
      <c r="E55" s="117"/>
      <c r="F55" t="s">
        <v>73</v>
      </c>
      <c r="G55" s="11">
        <v>32.450000000000003</v>
      </c>
      <c r="H55" s="11">
        <v>0</v>
      </c>
      <c r="I55" s="11">
        <f t="shared" si="3"/>
        <v>32.450000000000003</v>
      </c>
      <c r="J55" s="7">
        <v>201528</v>
      </c>
      <c r="L55" s="1">
        <v>42528</v>
      </c>
      <c r="M55" s="1"/>
    </row>
    <row r="56" spans="3:20" hidden="1" x14ac:dyDescent="0.3">
      <c r="C56" s="1">
        <v>42493</v>
      </c>
      <c r="D56" s="21">
        <v>114</v>
      </c>
      <c r="E56" s="117"/>
      <c r="F56" t="s">
        <v>74</v>
      </c>
      <c r="G56" s="11">
        <v>100</v>
      </c>
      <c r="H56" s="11">
        <v>20</v>
      </c>
      <c r="I56" s="11">
        <f t="shared" si="3"/>
        <v>120</v>
      </c>
      <c r="J56" s="7">
        <v>201529</v>
      </c>
      <c r="L56" s="1">
        <v>42528</v>
      </c>
      <c r="M56" s="1"/>
    </row>
    <row r="57" spans="3:20" hidden="1" x14ac:dyDescent="0.3">
      <c r="C57" s="1">
        <v>42493</v>
      </c>
      <c r="D57" s="21">
        <v>115</v>
      </c>
      <c r="E57" s="117"/>
      <c r="F57" t="s">
        <v>75</v>
      </c>
      <c r="G57" s="11">
        <v>35</v>
      </c>
      <c r="H57" s="11">
        <v>0</v>
      </c>
      <c r="I57" s="11">
        <f t="shared" si="3"/>
        <v>35</v>
      </c>
      <c r="J57" s="7">
        <v>201530</v>
      </c>
      <c r="L57" s="1">
        <v>42528</v>
      </c>
      <c r="M57" s="1"/>
    </row>
    <row r="58" spans="3:20" hidden="1" x14ac:dyDescent="0.3">
      <c r="C58" s="1">
        <v>42493</v>
      </c>
      <c r="D58" s="21">
        <v>116</v>
      </c>
      <c r="E58" s="117"/>
      <c r="F58" t="s">
        <v>76</v>
      </c>
      <c r="G58" s="11">
        <v>35</v>
      </c>
      <c r="H58" s="11">
        <v>0</v>
      </c>
      <c r="I58" s="11">
        <f t="shared" si="3"/>
        <v>35</v>
      </c>
      <c r="J58" s="7">
        <v>201530</v>
      </c>
      <c r="L58" s="1">
        <v>42528</v>
      </c>
      <c r="M58" s="1"/>
    </row>
    <row r="59" spans="3:20" hidden="1" x14ac:dyDescent="0.3">
      <c r="C59" s="1">
        <v>42493</v>
      </c>
      <c r="D59" s="21">
        <v>117</v>
      </c>
      <c r="E59" s="117"/>
      <c r="F59" t="s">
        <v>77</v>
      </c>
      <c r="G59" s="11">
        <v>37.5</v>
      </c>
      <c r="H59" s="11">
        <v>0</v>
      </c>
      <c r="I59" s="11">
        <f t="shared" si="3"/>
        <v>37.5</v>
      </c>
      <c r="J59" s="7">
        <v>201531</v>
      </c>
      <c r="L59" s="10">
        <v>42555</v>
      </c>
      <c r="M59" s="10"/>
    </row>
    <row r="60" spans="3:20" hidden="1" x14ac:dyDescent="0.3">
      <c r="C60" s="1">
        <v>42493</v>
      </c>
      <c r="D60" s="21">
        <v>118</v>
      </c>
      <c r="E60" s="117"/>
      <c r="F60" t="s">
        <v>78</v>
      </c>
      <c r="G60" s="11">
        <v>42</v>
      </c>
      <c r="H60" s="11">
        <v>0</v>
      </c>
      <c r="I60" s="11">
        <f t="shared" si="3"/>
        <v>42</v>
      </c>
      <c r="J60" s="7">
        <v>201532</v>
      </c>
      <c r="L60" s="9"/>
      <c r="M60" s="9"/>
    </row>
    <row r="61" spans="3:20" hidden="1" x14ac:dyDescent="0.3">
      <c r="C61" s="1">
        <v>42493</v>
      </c>
      <c r="D61" s="21">
        <v>119</v>
      </c>
      <c r="E61" s="117"/>
      <c r="F61" t="s">
        <v>79</v>
      </c>
      <c r="G61" s="11">
        <v>6150</v>
      </c>
      <c r="H61" s="11">
        <v>1230</v>
      </c>
      <c r="I61" s="11">
        <f t="shared" si="3"/>
        <v>7380</v>
      </c>
      <c r="J61" s="7">
        <v>201533</v>
      </c>
      <c r="L61" s="1">
        <v>42528</v>
      </c>
      <c r="M61" s="1"/>
    </row>
    <row r="62" spans="3:20" hidden="1" x14ac:dyDescent="0.3">
      <c r="C62" s="1">
        <v>42493</v>
      </c>
      <c r="D62" s="21">
        <v>120</v>
      </c>
      <c r="E62" s="117"/>
      <c r="F62" t="s">
        <v>80</v>
      </c>
      <c r="G62" s="11">
        <v>278</v>
      </c>
      <c r="H62" s="11">
        <v>0</v>
      </c>
      <c r="I62" s="11">
        <f t="shared" si="3"/>
        <v>278</v>
      </c>
      <c r="J62" s="7">
        <v>201534</v>
      </c>
      <c r="L62" s="1">
        <v>42528</v>
      </c>
      <c r="M62" s="1"/>
    </row>
    <row r="63" spans="3:20" hidden="1" x14ac:dyDescent="0.3">
      <c r="C63" s="1">
        <v>42493</v>
      </c>
      <c r="D63" s="21">
        <v>121</v>
      </c>
      <c r="E63" s="117"/>
      <c r="F63" t="s">
        <v>81</v>
      </c>
      <c r="G63" s="11">
        <v>286.5</v>
      </c>
      <c r="H63" s="11">
        <v>57.3</v>
      </c>
      <c r="I63" s="11">
        <f t="shared" si="3"/>
        <v>343.8</v>
      </c>
      <c r="J63" s="7">
        <v>201535</v>
      </c>
      <c r="L63" s="1">
        <v>42528</v>
      </c>
      <c r="M63" s="1"/>
    </row>
    <row r="64" spans="3:20" hidden="1" x14ac:dyDescent="0.3">
      <c r="C64" s="1">
        <v>42493</v>
      </c>
      <c r="D64" s="21">
        <v>125</v>
      </c>
      <c r="E64" s="117"/>
      <c r="F64" t="s">
        <v>82</v>
      </c>
      <c r="G64" s="11">
        <v>395.03</v>
      </c>
      <c r="H64" s="11">
        <v>19.75</v>
      </c>
      <c r="I64" s="11">
        <f t="shared" si="3"/>
        <v>414.78</v>
      </c>
      <c r="J64" s="7">
        <v>201536</v>
      </c>
      <c r="L64" s="10">
        <v>42555</v>
      </c>
      <c r="M64" s="10"/>
    </row>
    <row r="65" spans="3:13" hidden="1" x14ac:dyDescent="0.3">
      <c r="D65" s="21"/>
      <c r="E65" s="117"/>
      <c r="G65" s="12">
        <f>SUM(G50:G64)</f>
        <v>8061.05</v>
      </c>
      <c r="H65" s="12">
        <f>SUM(H50:H64)</f>
        <v>1327.05</v>
      </c>
      <c r="I65" s="12">
        <f>SUM(I50:I64)</f>
        <v>9388.1</v>
      </c>
    </row>
    <row r="66" spans="3:13" hidden="1" x14ac:dyDescent="0.3">
      <c r="D66" s="21"/>
      <c r="E66" s="117"/>
    </row>
    <row r="67" spans="3:13" hidden="1" x14ac:dyDescent="0.3">
      <c r="C67" s="1">
        <v>42528</v>
      </c>
      <c r="D67" s="21">
        <v>122</v>
      </c>
      <c r="E67" s="117"/>
      <c r="F67" t="s">
        <v>83</v>
      </c>
      <c r="G67" s="11">
        <v>300</v>
      </c>
      <c r="H67" s="11">
        <v>0</v>
      </c>
      <c r="I67" s="11">
        <f t="shared" ref="I67:I78" si="4">G67+H67</f>
        <v>300</v>
      </c>
      <c r="J67" s="7">
        <v>201537</v>
      </c>
      <c r="L67" s="1">
        <v>42555</v>
      </c>
      <c r="M67" s="1"/>
    </row>
    <row r="68" spans="3:13" hidden="1" x14ac:dyDescent="0.3">
      <c r="C68" s="1">
        <v>42528</v>
      </c>
      <c r="D68" s="21">
        <v>123</v>
      </c>
      <c r="E68" s="117"/>
      <c r="F68" t="s">
        <v>25</v>
      </c>
      <c r="G68" s="11">
        <v>19.8</v>
      </c>
      <c r="H68" s="11">
        <v>0</v>
      </c>
      <c r="I68" s="11">
        <f t="shared" si="4"/>
        <v>19.8</v>
      </c>
      <c r="J68" s="7">
        <v>201538</v>
      </c>
      <c r="L68" s="1">
        <v>42555</v>
      </c>
      <c r="M68" s="1"/>
    </row>
    <row r="69" spans="3:13" hidden="1" x14ac:dyDescent="0.3">
      <c r="C69" s="1">
        <v>42528</v>
      </c>
      <c r="D69" s="21">
        <v>124</v>
      </c>
      <c r="E69" s="117"/>
      <c r="F69" t="s">
        <v>84</v>
      </c>
      <c r="G69" s="11">
        <v>15</v>
      </c>
      <c r="H69" s="11">
        <v>0</v>
      </c>
      <c r="I69" s="11">
        <f t="shared" si="4"/>
        <v>15</v>
      </c>
      <c r="J69" s="7">
        <v>201539</v>
      </c>
      <c r="L69" s="1">
        <v>42585</v>
      </c>
      <c r="M69" s="1"/>
    </row>
    <row r="70" spans="3:13" hidden="1" x14ac:dyDescent="0.3">
      <c r="C70" s="1">
        <v>42528</v>
      </c>
      <c r="D70" s="21">
        <v>126</v>
      </c>
      <c r="E70" s="117"/>
      <c r="F70" t="s">
        <v>85</v>
      </c>
      <c r="G70" s="11">
        <v>167.19</v>
      </c>
      <c r="H70" s="11">
        <v>33.44</v>
      </c>
      <c r="I70" s="11">
        <f t="shared" si="4"/>
        <v>200.63</v>
      </c>
      <c r="J70" s="7">
        <v>201540</v>
      </c>
      <c r="L70" s="1">
        <v>42555</v>
      </c>
      <c r="M70" s="1"/>
    </row>
    <row r="71" spans="3:13" hidden="1" x14ac:dyDescent="0.3">
      <c r="C71" s="1">
        <v>42528</v>
      </c>
      <c r="D71" s="21">
        <v>127</v>
      </c>
      <c r="E71" s="117"/>
      <c r="F71" t="s">
        <v>86</v>
      </c>
      <c r="G71" s="11">
        <v>185</v>
      </c>
      <c r="H71" s="11">
        <v>37</v>
      </c>
      <c r="I71" s="11">
        <f t="shared" si="4"/>
        <v>222</v>
      </c>
      <c r="J71" s="7">
        <v>201541</v>
      </c>
      <c r="L71" s="1">
        <v>42555</v>
      </c>
      <c r="M71" s="1"/>
    </row>
    <row r="72" spans="3:13" hidden="1" x14ac:dyDescent="0.3">
      <c r="C72" s="1">
        <v>42528</v>
      </c>
      <c r="D72" s="21">
        <v>128</v>
      </c>
      <c r="E72" s="117"/>
      <c r="F72" t="s">
        <v>87</v>
      </c>
      <c r="G72" s="11">
        <v>41.3</v>
      </c>
      <c r="H72" s="11">
        <v>8.26</v>
      </c>
      <c r="I72" s="11">
        <f t="shared" si="4"/>
        <v>49.559999999999995</v>
      </c>
      <c r="J72" s="7">
        <v>201542</v>
      </c>
      <c r="L72" s="1">
        <v>42555</v>
      </c>
      <c r="M72" s="1"/>
    </row>
    <row r="73" spans="3:13" hidden="1" x14ac:dyDescent="0.3">
      <c r="C73" s="1">
        <v>42528</v>
      </c>
      <c r="D73" s="21">
        <v>129</v>
      </c>
      <c r="E73" s="117"/>
      <c r="F73" t="s">
        <v>88</v>
      </c>
      <c r="G73" s="11">
        <v>402.97</v>
      </c>
      <c r="H73" s="11">
        <v>0</v>
      </c>
      <c r="I73" s="11">
        <f t="shared" si="4"/>
        <v>402.97</v>
      </c>
      <c r="J73" s="7">
        <v>201543</v>
      </c>
      <c r="L73" s="1">
        <v>42555</v>
      </c>
      <c r="M73" s="1"/>
    </row>
    <row r="74" spans="3:13" hidden="1" x14ac:dyDescent="0.3">
      <c r="C74" s="1">
        <v>42528</v>
      </c>
      <c r="D74" s="21">
        <v>130</v>
      </c>
      <c r="E74" s="117"/>
      <c r="F74" t="s">
        <v>89</v>
      </c>
      <c r="G74" s="11">
        <v>230</v>
      </c>
      <c r="H74" s="11">
        <v>0</v>
      </c>
      <c r="I74" s="11">
        <f t="shared" si="4"/>
        <v>230</v>
      </c>
      <c r="J74" s="7">
        <v>201544</v>
      </c>
      <c r="L74" s="1">
        <v>42555</v>
      </c>
      <c r="M74" s="1"/>
    </row>
    <row r="75" spans="3:13" hidden="1" x14ac:dyDescent="0.3">
      <c r="C75" s="1">
        <v>42528</v>
      </c>
      <c r="D75" s="21">
        <v>131</v>
      </c>
      <c r="E75" s="117"/>
      <c r="F75" t="s">
        <v>90</v>
      </c>
      <c r="G75" s="11">
        <v>604</v>
      </c>
      <c r="H75" s="11">
        <v>0</v>
      </c>
      <c r="I75" s="11">
        <f t="shared" si="4"/>
        <v>604</v>
      </c>
      <c r="J75" s="7">
        <v>201545</v>
      </c>
      <c r="L75" s="1">
        <v>42555</v>
      </c>
      <c r="M75" s="1"/>
    </row>
    <row r="76" spans="3:13" hidden="1" x14ac:dyDescent="0.3">
      <c r="C76" s="1">
        <v>42528</v>
      </c>
      <c r="D76" s="21">
        <v>132</v>
      </c>
      <c r="E76" s="117"/>
      <c r="F76" t="s">
        <v>91</v>
      </c>
      <c r="G76" s="11">
        <v>12.25</v>
      </c>
      <c r="H76" s="11">
        <v>0</v>
      </c>
      <c r="I76" s="11">
        <f t="shared" si="4"/>
        <v>12.25</v>
      </c>
      <c r="J76" s="7">
        <v>201547</v>
      </c>
      <c r="L76" s="1">
        <v>42585</v>
      </c>
      <c r="M76" s="1"/>
    </row>
    <row r="77" spans="3:13" hidden="1" x14ac:dyDescent="0.3">
      <c r="C77" s="1">
        <v>42528</v>
      </c>
      <c r="D77" s="21">
        <v>133</v>
      </c>
      <c r="E77" s="117"/>
      <c r="F77" t="s">
        <v>92</v>
      </c>
      <c r="G77" s="11">
        <v>40.25</v>
      </c>
      <c r="H77" s="11">
        <v>0</v>
      </c>
      <c r="I77" s="11">
        <f t="shared" si="4"/>
        <v>40.25</v>
      </c>
      <c r="J77" s="7">
        <v>201548</v>
      </c>
      <c r="L77" s="9">
        <v>42646</v>
      </c>
      <c r="M77" s="9"/>
    </row>
    <row r="78" spans="3:13" hidden="1" x14ac:dyDescent="0.3">
      <c r="C78" s="1">
        <v>42528</v>
      </c>
      <c r="D78" s="21">
        <v>119</v>
      </c>
      <c r="E78" s="117"/>
      <c r="F78" t="s">
        <v>79</v>
      </c>
      <c r="G78" s="11">
        <v>500</v>
      </c>
      <c r="H78" s="11">
        <v>100</v>
      </c>
      <c r="I78" s="11">
        <f t="shared" si="4"/>
        <v>600</v>
      </c>
      <c r="J78" s="7">
        <v>201546</v>
      </c>
      <c r="L78" s="1">
        <v>42585</v>
      </c>
      <c r="M78" s="1"/>
    </row>
    <row r="79" spans="3:13" s="5" customFormat="1" hidden="1" x14ac:dyDescent="0.3">
      <c r="D79" s="22"/>
      <c r="E79" s="113"/>
      <c r="G79" s="12">
        <f>SUM(G67:G78)</f>
        <v>2517.7600000000002</v>
      </c>
      <c r="H79" s="12">
        <f>SUM(H67:H78)</f>
        <v>178.7</v>
      </c>
      <c r="I79" s="12">
        <f>SUM(I67:I78)</f>
        <v>2696.46</v>
      </c>
      <c r="J79" s="16"/>
      <c r="K79" s="8"/>
    </row>
    <row r="80" spans="3:13" hidden="1" x14ac:dyDescent="0.3">
      <c r="C80" s="1">
        <v>42555</v>
      </c>
      <c r="D80" s="21">
        <v>134</v>
      </c>
      <c r="E80" s="117"/>
      <c r="F80" t="s">
        <v>88</v>
      </c>
      <c r="G80" s="11">
        <v>405.36</v>
      </c>
      <c r="H80" s="11">
        <v>0</v>
      </c>
      <c r="I80" s="11">
        <f>G80+H80</f>
        <v>405.36</v>
      </c>
      <c r="J80" s="7">
        <v>201549</v>
      </c>
      <c r="L80" s="1">
        <v>42585</v>
      </c>
      <c r="M80" s="1"/>
    </row>
    <row r="81" spans="3:13" hidden="1" x14ac:dyDescent="0.3">
      <c r="C81" s="1">
        <v>42555</v>
      </c>
      <c r="D81" s="21">
        <v>134</v>
      </c>
      <c r="E81" s="117"/>
      <c r="F81" t="s">
        <v>103</v>
      </c>
      <c r="G81" s="11">
        <v>9.09</v>
      </c>
      <c r="H81" s="11">
        <v>0</v>
      </c>
      <c r="I81" s="11">
        <v>9.09</v>
      </c>
      <c r="J81" s="7">
        <v>201549</v>
      </c>
      <c r="L81" s="1">
        <v>42585</v>
      </c>
      <c r="M81" s="1"/>
    </row>
    <row r="82" spans="3:13" hidden="1" x14ac:dyDescent="0.3">
      <c r="C82" s="1">
        <v>42555</v>
      </c>
      <c r="D82" s="21">
        <v>135</v>
      </c>
      <c r="E82" s="117"/>
      <c r="F82" t="s">
        <v>93</v>
      </c>
      <c r="G82" s="11">
        <v>20.38</v>
      </c>
      <c r="H82" s="11">
        <v>4.08</v>
      </c>
      <c r="I82" s="11">
        <f t="shared" ref="I82:I93" si="5">G82+H82</f>
        <v>24.46</v>
      </c>
      <c r="J82" s="7">
        <v>201550</v>
      </c>
      <c r="L82" s="1">
        <v>42585</v>
      </c>
      <c r="M82" s="1"/>
    </row>
    <row r="83" spans="3:13" hidden="1" x14ac:dyDescent="0.3">
      <c r="C83" s="1">
        <v>42555</v>
      </c>
      <c r="D83" s="21">
        <v>136</v>
      </c>
      <c r="E83" s="117"/>
      <c r="F83" t="s">
        <v>94</v>
      </c>
      <c r="G83" s="11">
        <v>44.58</v>
      </c>
      <c r="H83" s="11">
        <v>8.92</v>
      </c>
      <c r="I83" s="11">
        <f t="shared" si="5"/>
        <v>53.5</v>
      </c>
      <c r="J83" s="7">
        <v>201551</v>
      </c>
      <c r="L83" s="1">
        <v>42585</v>
      </c>
      <c r="M83" s="1"/>
    </row>
    <row r="84" spans="3:13" hidden="1" x14ac:dyDescent="0.3">
      <c r="C84" s="1">
        <v>42555</v>
      </c>
      <c r="D84" s="21">
        <v>137</v>
      </c>
      <c r="E84" s="117"/>
      <c r="F84" t="s">
        <v>39</v>
      </c>
      <c r="G84" s="11">
        <v>180</v>
      </c>
      <c r="H84" s="11">
        <v>0</v>
      </c>
      <c r="I84" s="11">
        <f t="shared" si="5"/>
        <v>180</v>
      </c>
      <c r="J84" s="7">
        <v>201552</v>
      </c>
      <c r="L84" s="1">
        <v>42585</v>
      </c>
      <c r="M84" s="1"/>
    </row>
    <row r="85" spans="3:13" hidden="1" x14ac:dyDescent="0.3">
      <c r="C85" s="1">
        <v>42555</v>
      </c>
      <c r="D85" s="21">
        <v>138</v>
      </c>
      <c r="E85" s="117"/>
      <c r="F85" t="s">
        <v>95</v>
      </c>
      <c r="G85" s="11">
        <v>185</v>
      </c>
      <c r="H85" s="11">
        <v>37</v>
      </c>
      <c r="I85" s="11">
        <f t="shared" si="5"/>
        <v>222</v>
      </c>
      <c r="J85" s="7">
        <v>201553</v>
      </c>
      <c r="L85" s="1">
        <v>42585</v>
      </c>
      <c r="M85" s="1"/>
    </row>
    <row r="86" spans="3:13" hidden="1" x14ac:dyDescent="0.3">
      <c r="C86" s="1">
        <v>42555</v>
      </c>
      <c r="D86" s="21">
        <v>139</v>
      </c>
      <c r="E86" s="117"/>
      <c r="F86" t="s">
        <v>78</v>
      </c>
      <c r="G86" s="11">
        <v>157.51</v>
      </c>
      <c r="H86" s="11">
        <v>0</v>
      </c>
      <c r="I86" s="11">
        <f t="shared" si="5"/>
        <v>157.51</v>
      </c>
      <c r="J86" s="7">
        <v>201562</v>
      </c>
      <c r="L86" s="1">
        <v>42585</v>
      </c>
      <c r="M86" s="1"/>
    </row>
    <row r="87" spans="3:13" hidden="1" x14ac:dyDescent="0.3">
      <c r="C87" s="1">
        <v>42555</v>
      </c>
      <c r="D87" s="21">
        <v>140</v>
      </c>
      <c r="E87" s="117"/>
      <c r="F87" t="s">
        <v>96</v>
      </c>
      <c r="G87" s="11">
        <v>255.52</v>
      </c>
      <c r="H87" s="11">
        <v>51.1</v>
      </c>
      <c r="I87" s="11">
        <f t="shared" si="5"/>
        <v>306.62</v>
      </c>
      <c r="J87" s="7">
        <v>201555</v>
      </c>
      <c r="L87" s="1">
        <v>42585</v>
      </c>
      <c r="M87" s="1"/>
    </row>
    <row r="88" spans="3:13" hidden="1" x14ac:dyDescent="0.3">
      <c r="C88" s="1">
        <v>42555</v>
      </c>
      <c r="D88" s="21">
        <v>141</v>
      </c>
      <c r="E88" s="117"/>
      <c r="F88" t="s">
        <v>97</v>
      </c>
      <c r="G88" s="11">
        <v>20.2</v>
      </c>
      <c r="H88" s="11">
        <v>4.05</v>
      </c>
      <c r="I88" s="11">
        <f t="shared" si="5"/>
        <v>24.25</v>
      </c>
      <c r="J88" s="7">
        <v>201556</v>
      </c>
      <c r="L88" s="1">
        <v>42585</v>
      </c>
      <c r="M88" s="1"/>
    </row>
    <row r="89" spans="3:13" hidden="1" x14ac:dyDescent="0.3">
      <c r="C89" s="1">
        <v>42555</v>
      </c>
      <c r="D89" s="21">
        <v>142</v>
      </c>
      <c r="E89" s="117"/>
      <c r="F89" t="s">
        <v>98</v>
      </c>
      <c r="G89" s="11">
        <v>41.32</v>
      </c>
      <c r="H89" s="11">
        <v>0</v>
      </c>
      <c r="I89" s="11">
        <f t="shared" si="5"/>
        <v>41.32</v>
      </c>
      <c r="J89" s="7">
        <v>201557</v>
      </c>
      <c r="L89" s="1">
        <v>42585</v>
      </c>
      <c r="M89" s="1"/>
    </row>
    <row r="90" spans="3:13" hidden="1" x14ac:dyDescent="0.3">
      <c r="C90" s="1">
        <v>42555</v>
      </c>
      <c r="D90" s="21">
        <v>143</v>
      </c>
      <c r="E90" s="117"/>
      <c r="F90" t="s">
        <v>99</v>
      </c>
      <c r="G90" s="11">
        <v>335</v>
      </c>
      <c r="H90" s="11">
        <v>0</v>
      </c>
      <c r="I90" s="11">
        <f t="shared" si="5"/>
        <v>335</v>
      </c>
      <c r="J90" s="7">
        <v>201558</v>
      </c>
      <c r="L90" s="1">
        <v>42585</v>
      </c>
      <c r="M90" s="1"/>
    </row>
    <row r="91" spans="3:13" hidden="1" x14ac:dyDescent="0.3">
      <c r="C91" s="1">
        <v>42555</v>
      </c>
      <c r="D91" s="21">
        <v>144</v>
      </c>
      <c r="E91" s="117"/>
      <c r="F91" t="s">
        <v>100</v>
      </c>
      <c r="G91" s="11">
        <v>5</v>
      </c>
      <c r="H91" s="11">
        <v>0</v>
      </c>
      <c r="I91" s="11">
        <f t="shared" si="5"/>
        <v>5</v>
      </c>
      <c r="J91" s="7">
        <v>201559</v>
      </c>
      <c r="L91" s="9">
        <v>42618</v>
      </c>
      <c r="M91" s="9"/>
    </row>
    <row r="92" spans="3:13" hidden="1" x14ac:dyDescent="0.3">
      <c r="C92" s="1">
        <v>42555</v>
      </c>
      <c r="D92" s="21">
        <v>145</v>
      </c>
      <c r="E92" s="117"/>
      <c r="F92" t="s">
        <v>101</v>
      </c>
      <c r="G92" s="11">
        <v>103</v>
      </c>
      <c r="H92" s="11">
        <v>0</v>
      </c>
      <c r="I92" s="11">
        <f t="shared" si="5"/>
        <v>103</v>
      </c>
      <c r="J92" s="7">
        <v>201560</v>
      </c>
      <c r="L92" s="1">
        <v>42585</v>
      </c>
      <c r="M92" s="1"/>
    </row>
    <row r="93" spans="3:13" hidden="1" x14ac:dyDescent="0.3">
      <c r="C93" s="1">
        <v>42555</v>
      </c>
      <c r="D93" s="21">
        <v>146</v>
      </c>
      <c r="E93" s="117"/>
      <c r="F93" t="s">
        <v>102</v>
      </c>
      <c r="G93" s="11">
        <v>27.5</v>
      </c>
      <c r="H93" s="11">
        <v>0</v>
      </c>
      <c r="I93" s="11">
        <f t="shared" si="5"/>
        <v>27.5</v>
      </c>
      <c r="J93" s="7">
        <v>201561</v>
      </c>
      <c r="L93" s="1">
        <v>42585</v>
      </c>
      <c r="M93" s="1"/>
    </row>
    <row r="94" spans="3:13" hidden="1" x14ac:dyDescent="0.3">
      <c r="C94" s="1"/>
      <c r="D94" s="21"/>
      <c r="E94" s="117"/>
      <c r="G94" s="12">
        <f>SUM(G80:G93)</f>
        <v>1789.46</v>
      </c>
      <c r="H94" s="12">
        <f>SUM(H80:H93)</f>
        <v>105.14999999999999</v>
      </c>
      <c r="I94" s="12">
        <f>SUM(I80:I93)</f>
        <v>1894.61</v>
      </c>
    </row>
    <row r="95" spans="3:13" hidden="1" x14ac:dyDescent="0.3">
      <c r="C95" s="1">
        <v>42584</v>
      </c>
      <c r="D95" s="21">
        <v>147</v>
      </c>
      <c r="E95" s="117"/>
      <c r="F95" t="s">
        <v>104</v>
      </c>
      <c r="G95" s="11">
        <v>7.25</v>
      </c>
      <c r="H95" s="11">
        <v>0</v>
      </c>
      <c r="I95" s="11">
        <v>7.25</v>
      </c>
      <c r="J95" s="7">
        <v>201563</v>
      </c>
      <c r="L95" s="1">
        <v>42618</v>
      </c>
      <c r="M95" s="1"/>
    </row>
    <row r="96" spans="3:13" hidden="1" x14ac:dyDescent="0.3">
      <c r="C96" s="1">
        <v>42584</v>
      </c>
      <c r="D96" s="21">
        <v>147</v>
      </c>
      <c r="E96" s="117"/>
      <c r="F96" t="s">
        <v>88</v>
      </c>
      <c r="G96" s="11">
        <v>392.27</v>
      </c>
      <c r="H96" s="11">
        <v>0</v>
      </c>
      <c r="I96" s="11">
        <v>392.27</v>
      </c>
      <c r="J96" s="7">
        <v>201564</v>
      </c>
      <c r="L96" s="1">
        <v>42618</v>
      </c>
      <c r="M96" s="1"/>
    </row>
    <row r="97" spans="3:13" hidden="1" x14ac:dyDescent="0.3">
      <c r="C97" s="1">
        <v>42584</v>
      </c>
      <c r="D97" s="21">
        <v>148</v>
      </c>
      <c r="E97" s="117"/>
      <c r="F97" t="s">
        <v>103</v>
      </c>
      <c r="G97" s="11">
        <v>15.07</v>
      </c>
      <c r="H97" s="11">
        <v>0</v>
      </c>
      <c r="I97" s="11">
        <v>15.07</v>
      </c>
      <c r="J97" s="7">
        <v>201564</v>
      </c>
      <c r="L97" s="1">
        <v>42618</v>
      </c>
      <c r="M97" s="1"/>
    </row>
    <row r="98" spans="3:13" hidden="1" x14ac:dyDescent="0.3">
      <c r="C98" s="1">
        <v>42584</v>
      </c>
      <c r="D98" s="21">
        <v>149</v>
      </c>
      <c r="E98" s="117"/>
      <c r="F98" t="s">
        <v>39</v>
      </c>
      <c r="G98" s="11">
        <v>180</v>
      </c>
      <c r="H98" s="11">
        <v>0</v>
      </c>
      <c r="I98" s="11">
        <v>180</v>
      </c>
      <c r="J98" s="7">
        <v>201565</v>
      </c>
      <c r="L98" s="1">
        <v>42618</v>
      </c>
      <c r="M98" s="1"/>
    </row>
    <row r="99" spans="3:13" hidden="1" x14ac:dyDescent="0.3">
      <c r="C99" s="1">
        <v>42584</v>
      </c>
      <c r="D99" s="21">
        <v>150</v>
      </c>
      <c r="E99" s="117"/>
      <c r="F99" t="s">
        <v>105</v>
      </c>
      <c r="G99" s="11">
        <v>380.05</v>
      </c>
      <c r="H99" s="11">
        <v>19</v>
      </c>
      <c r="I99" s="11">
        <v>399.05</v>
      </c>
      <c r="J99" s="7">
        <v>201566</v>
      </c>
      <c r="L99" s="1">
        <v>42618</v>
      </c>
      <c r="M99" s="1"/>
    </row>
    <row r="100" spans="3:13" s="5" customFormat="1" hidden="1" x14ac:dyDescent="0.3">
      <c r="C100" s="8"/>
      <c r="D100" s="22"/>
      <c r="E100" s="113"/>
      <c r="G100" s="12">
        <f>SUM(G95:G99)</f>
        <v>974.63999999999987</v>
      </c>
      <c r="H100" s="12">
        <f>SUM(H95:H99)</f>
        <v>19</v>
      </c>
      <c r="I100" s="12">
        <f>SUM(I95:I99)</f>
        <v>993.63999999999987</v>
      </c>
      <c r="J100" s="16"/>
      <c r="K100" s="8"/>
      <c r="L100" s="8"/>
      <c r="M100" s="8"/>
    </row>
    <row r="101" spans="3:13" hidden="1" x14ac:dyDescent="0.3">
      <c r="C101" s="1">
        <v>42614</v>
      </c>
      <c r="D101" s="21">
        <v>151</v>
      </c>
      <c r="E101" s="117"/>
      <c r="F101" t="s">
        <v>78</v>
      </c>
      <c r="G101" s="11">
        <v>147</v>
      </c>
      <c r="H101" s="11">
        <v>0</v>
      </c>
      <c r="I101" s="11">
        <v>147</v>
      </c>
      <c r="J101" s="7">
        <v>201567</v>
      </c>
      <c r="L101" s="1">
        <v>42646</v>
      </c>
      <c r="M101" s="1"/>
    </row>
    <row r="102" spans="3:13" hidden="1" x14ac:dyDescent="0.3">
      <c r="C102" s="1">
        <v>42614</v>
      </c>
      <c r="D102" s="21">
        <v>152</v>
      </c>
      <c r="E102" s="117"/>
      <c r="F102" t="s">
        <v>39</v>
      </c>
      <c r="G102" s="11">
        <v>180</v>
      </c>
      <c r="H102" s="11">
        <v>0</v>
      </c>
      <c r="I102" s="11">
        <v>180</v>
      </c>
      <c r="J102" s="7">
        <v>201568</v>
      </c>
      <c r="L102" s="1">
        <v>42646</v>
      </c>
      <c r="M102" s="1"/>
    </row>
    <row r="103" spans="3:13" hidden="1" x14ac:dyDescent="0.3">
      <c r="C103" s="1">
        <v>42614</v>
      </c>
      <c r="D103" s="21">
        <v>153</v>
      </c>
      <c r="E103" s="117"/>
      <c r="F103" t="s">
        <v>106</v>
      </c>
      <c r="G103" s="11">
        <v>40.5</v>
      </c>
      <c r="H103" s="11">
        <v>0</v>
      </c>
      <c r="I103" s="11">
        <v>40.5</v>
      </c>
      <c r="J103" s="7">
        <v>201569</v>
      </c>
      <c r="L103" s="1">
        <v>42646</v>
      </c>
      <c r="M103" s="1"/>
    </row>
    <row r="104" spans="3:13" hidden="1" x14ac:dyDescent="0.3">
      <c r="C104" s="1">
        <v>42614</v>
      </c>
      <c r="D104" s="21">
        <v>154</v>
      </c>
      <c r="E104" s="117"/>
      <c r="F104" t="s">
        <v>107</v>
      </c>
      <c r="G104" s="11">
        <v>392.27</v>
      </c>
      <c r="H104" s="11">
        <v>0</v>
      </c>
      <c r="I104" s="11">
        <v>392.27</v>
      </c>
      <c r="J104" s="7">
        <v>201570</v>
      </c>
      <c r="L104" s="1">
        <v>42646</v>
      </c>
      <c r="M104" s="1"/>
    </row>
    <row r="105" spans="3:13" hidden="1" x14ac:dyDescent="0.3">
      <c r="C105" s="1">
        <v>42614</v>
      </c>
      <c r="D105" s="21">
        <v>154</v>
      </c>
      <c r="E105" s="117"/>
      <c r="F105" t="s">
        <v>108</v>
      </c>
      <c r="G105" s="11">
        <v>15.07</v>
      </c>
      <c r="H105" s="11">
        <v>0</v>
      </c>
      <c r="I105" s="11">
        <v>15.07</v>
      </c>
      <c r="J105" s="7">
        <v>201570</v>
      </c>
      <c r="L105" s="1">
        <v>42646</v>
      </c>
      <c r="M105" s="1"/>
    </row>
    <row r="106" spans="3:13" hidden="1" x14ac:dyDescent="0.3">
      <c r="C106" s="1">
        <v>42614</v>
      </c>
      <c r="D106" s="21">
        <v>155</v>
      </c>
      <c r="E106" s="117"/>
      <c r="F106" t="s">
        <v>109</v>
      </c>
      <c r="G106" s="11">
        <v>9.99</v>
      </c>
      <c r="H106" s="11">
        <v>0</v>
      </c>
      <c r="I106" s="11">
        <v>9.99</v>
      </c>
      <c r="J106" s="7">
        <v>201571</v>
      </c>
      <c r="L106" s="1">
        <v>42646</v>
      </c>
      <c r="M106" s="1"/>
    </row>
    <row r="107" spans="3:13" hidden="1" x14ac:dyDescent="0.3">
      <c r="C107" s="1">
        <v>42614</v>
      </c>
      <c r="D107" s="21">
        <v>156</v>
      </c>
      <c r="E107" s="117"/>
      <c r="F107" t="s">
        <v>110</v>
      </c>
      <c r="G107" s="11">
        <v>29.5</v>
      </c>
      <c r="H107" s="11">
        <v>5.9</v>
      </c>
      <c r="I107" s="11">
        <f>SUM(G107:H107)</f>
        <v>35.4</v>
      </c>
      <c r="J107" s="7">
        <v>201572</v>
      </c>
      <c r="L107" s="1">
        <v>42646</v>
      </c>
      <c r="M107" s="1"/>
    </row>
    <row r="108" spans="3:13" hidden="1" x14ac:dyDescent="0.3">
      <c r="C108" s="1">
        <v>42614</v>
      </c>
      <c r="D108" s="21">
        <v>157</v>
      </c>
      <c r="E108" s="117"/>
      <c r="F108" t="s">
        <v>86</v>
      </c>
      <c r="G108" s="11">
        <v>555</v>
      </c>
      <c r="H108" s="11">
        <v>111</v>
      </c>
      <c r="I108" s="11">
        <v>666</v>
      </c>
      <c r="J108" s="7">
        <v>201573</v>
      </c>
      <c r="L108" s="1">
        <v>42646</v>
      </c>
      <c r="M108" s="1"/>
    </row>
    <row r="109" spans="3:13" hidden="1" x14ac:dyDescent="0.3">
      <c r="C109" s="1">
        <v>42614</v>
      </c>
      <c r="D109" s="21">
        <v>158</v>
      </c>
      <c r="E109" s="117"/>
      <c r="F109" t="s">
        <v>81</v>
      </c>
      <c r="G109" s="11">
        <v>15.4</v>
      </c>
      <c r="H109" s="11">
        <v>3.08</v>
      </c>
      <c r="I109" s="11">
        <v>18.48</v>
      </c>
      <c r="J109" s="7">
        <v>201574</v>
      </c>
      <c r="L109" s="1">
        <v>42646</v>
      </c>
      <c r="M109" s="1"/>
    </row>
    <row r="110" spans="3:13" hidden="1" x14ac:dyDescent="0.3">
      <c r="C110" s="1">
        <v>42614</v>
      </c>
      <c r="D110" s="21">
        <v>159</v>
      </c>
      <c r="E110" s="117"/>
      <c r="F110" t="s">
        <v>111</v>
      </c>
      <c r="G110" s="11">
        <v>20</v>
      </c>
      <c r="H110" s="11">
        <v>0</v>
      </c>
      <c r="I110" s="11">
        <v>20</v>
      </c>
      <c r="J110" s="7">
        <v>201575</v>
      </c>
      <c r="L110" s="1">
        <v>42646</v>
      </c>
      <c r="M110" s="1"/>
    </row>
    <row r="111" spans="3:13" hidden="1" x14ac:dyDescent="0.3">
      <c r="C111" s="1">
        <v>42614</v>
      </c>
      <c r="D111" s="21">
        <v>160</v>
      </c>
      <c r="E111" s="117"/>
      <c r="F111" t="s">
        <v>112</v>
      </c>
      <c r="G111" s="11">
        <v>210</v>
      </c>
      <c r="H111" s="11">
        <v>42</v>
      </c>
      <c r="I111" s="11">
        <v>252</v>
      </c>
      <c r="J111" s="7">
        <v>201576</v>
      </c>
      <c r="L111" s="1">
        <v>42646</v>
      </c>
      <c r="M111" s="1"/>
    </row>
    <row r="112" spans="3:13" s="5" customFormat="1" hidden="1" x14ac:dyDescent="0.3">
      <c r="C112" s="8"/>
      <c r="D112" s="22"/>
      <c r="E112" s="113"/>
      <c r="G112" s="12">
        <f>SUM(G101:G111)</f>
        <v>1614.73</v>
      </c>
      <c r="H112" s="12">
        <f>SUM(H101:H111)</f>
        <v>161.98000000000002</v>
      </c>
      <c r="I112" s="12">
        <f>SUM(I101:I111)</f>
        <v>1776.71</v>
      </c>
      <c r="J112" s="16"/>
      <c r="K112" s="8"/>
    </row>
    <row r="113" spans="3:13" hidden="1" x14ac:dyDescent="0.3">
      <c r="C113" s="1">
        <v>42646</v>
      </c>
      <c r="D113" s="21">
        <v>161</v>
      </c>
      <c r="E113" s="117"/>
      <c r="F113" t="s">
        <v>39</v>
      </c>
      <c r="G113" s="11">
        <v>180</v>
      </c>
      <c r="H113" s="11">
        <v>0</v>
      </c>
      <c r="I113" s="11">
        <v>180</v>
      </c>
      <c r="J113" s="7">
        <v>201577</v>
      </c>
      <c r="L113" s="1">
        <v>42675</v>
      </c>
      <c r="M113" s="1"/>
    </row>
    <row r="114" spans="3:13" hidden="1" x14ac:dyDescent="0.3">
      <c r="C114" s="1">
        <v>42646</v>
      </c>
      <c r="D114" s="21">
        <v>162</v>
      </c>
      <c r="E114" s="117"/>
      <c r="F114" t="s">
        <v>97</v>
      </c>
      <c r="G114" s="11">
        <v>60</v>
      </c>
      <c r="H114" s="11">
        <v>12</v>
      </c>
      <c r="I114" s="11">
        <v>72</v>
      </c>
      <c r="J114" s="7">
        <v>201578</v>
      </c>
      <c r="L114" s="1">
        <v>42675</v>
      </c>
      <c r="M114" s="1"/>
    </row>
    <row r="115" spans="3:13" hidden="1" x14ac:dyDescent="0.3">
      <c r="C115" s="1">
        <v>42646</v>
      </c>
      <c r="D115" s="21">
        <v>163</v>
      </c>
      <c r="E115" s="117"/>
      <c r="F115" t="s">
        <v>107</v>
      </c>
      <c r="G115" s="11">
        <v>392.27</v>
      </c>
      <c r="H115" s="11">
        <v>0</v>
      </c>
      <c r="I115" s="11">
        <v>392.27</v>
      </c>
      <c r="J115" s="7">
        <v>201579</v>
      </c>
      <c r="L115" s="1">
        <v>42675</v>
      </c>
      <c r="M115" s="1"/>
    </row>
    <row r="116" spans="3:13" hidden="1" x14ac:dyDescent="0.3">
      <c r="C116" s="1">
        <v>42646</v>
      </c>
      <c r="D116" s="21">
        <v>163</v>
      </c>
      <c r="E116" s="117"/>
      <c r="F116" t="s">
        <v>108</v>
      </c>
      <c r="G116" s="11">
        <v>15.07</v>
      </c>
      <c r="H116" s="11">
        <v>0</v>
      </c>
      <c r="I116" s="11">
        <v>15.07</v>
      </c>
      <c r="J116" s="7">
        <v>201579</v>
      </c>
      <c r="L116" s="1">
        <v>42675</v>
      </c>
      <c r="M116" s="1"/>
    </row>
    <row r="117" spans="3:13" hidden="1" x14ac:dyDescent="0.3">
      <c r="C117" s="1">
        <v>42646</v>
      </c>
      <c r="D117" s="21">
        <v>163</v>
      </c>
      <c r="E117" s="117"/>
      <c r="F117" t="s">
        <v>113</v>
      </c>
      <c r="G117" s="11">
        <v>42.45</v>
      </c>
      <c r="H117" s="11">
        <v>0</v>
      </c>
      <c r="I117" s="11">
        <v>42.45</v>
      </c>
      <c r="J117" s="7">
        <v>201579</v>
      </c>
      <c r="L117" s="1">
        <v>42675</v>
      </c>
      <c r="M117" s="1"/>
    </row>
    <row r="118" spans="3:13" hidden="1" x14ac:dyDescent="0.3">
      <c r="C118" s="1">
        <v>42646</v>
      </c>
      <c r="D118" s="21">
        <v>164</v>
      </c>
      <c r="E118" s="117"/>
      <c r="F118" t="s">
        <v>99</v>
      </c>
      <c r="G118" s="11">
        <v>300</v>
      </c>
      <c r="H118" s="11">
        <v>35</v>
      </c>
      <c r="I118" s="11">
        <v>335</v>
      </c>
      <c r="J118" s="7">
        <v>201580</v>
      </c>
      <c r="L118" s="1">
        <v>42675</v>
      </c>
      <c r="M118" s="1"/>
    </row>
    <row r="119" spans="3:13" hidden="1" x14ac:dyDescent="0.3">
      <c r="C119" s="1">
        <v>42646</v>
      </c>
      <c r="D119" s="21">
        <v>165</v>
      </c>
      <c r="E119" s="117"/>
      <c r="F119" t="s">
        <v>114</v>
      </c>
      <c r="G119" s="11">
        <v>95</v>
      </c>
      <c r="H119" s="11">
        <v>19</v>
      </c>
      <c r="I119" s="11">
        <v>114</v>
      </c>
      <c r="J119" s="7">
        <v>201581</v>
      </c>
      <c r="L119" s="1">
        <v>42675</v>
      </c>
      <c r="M119" s="1"/>
    </row>
    <row r="120" spans="3:13" hidden="1" x14ac:dyDescent="0.3">
      <c r="C120" s="1">
        <v>42646</v>
      </c>
      <c r="D120" s="21">
        <v>166</v>
      </c>
      <c r="E120" s="117"/>
      <c r="F120" t="s">
        <v>122</v>
      </c>
      <c r="G120" s="11">
        <v>12.5</v>
      </c>
      <c r="H120" s="11">
        <v>2.5</v>
      </c>
      <c r="I120" s="11">
        <v>15</v>
      </c>
      <c r="J120" s="7">
        <v>201582</v>
      </c>
      <c r="L120" s="1">
        <v>42675</v>
      </c>
      <c r="M120" s="1"/>
    </row>
    <row r="121" spans="3:13" hidden="1" x14ac:dyDescent="0.3">
      <c r="C121" s="1">
        <v>42646</v>
      </c>
      <c r="D121" s="21">
        <v>166</v>
      </c>
      <c r="E121" s="117"/>
      <c r="F121" t="s">
        <v>121</v>
      </c>
      <c r="G121" s="11">
        <v>15</v>
      </c>
      <c r="H121" s="11">
        <v>0</v>
      </c>
      <c r="I121" s="11">
        <v>15</v>
      </c>
      <c r="J121" s="7">
        <v>201582</v>
      </c>
      <c r="L121" s="1">
        <v>42675</v>
      </c>
      <c r="M121" s="1"/>
    </row>
    <row r="122" spans="3:13" hidden="1" x14ac:dyDescent="0.3">
      <c r="C122" s="1">
        <v>42646</v>
      </c>
      <c r="D122" s="21">
        <v>167</v>
      </c>
      <c r="E122" s="117"/>
      <c r="F122" t="s">
        <v>39</v>
      </c>
      <c r="G122" s="11">
        <v>651.5</v>
      </c>
      <c r="H122" s="11">
        <v>0</v>
      </c>
      <c r="I122" s="11">
        <v>651.5</v>
      </c>
      <c r="J122" s="7">
        <v>201584</v>
      </c>
      <c r="L122" s="1">
        <v>42675</v>
      </c>
      <c r="M122" s="1"/>
    </row>
    <row r="123" spans="3:13" hidden="1" x14ac:dyDescent="0.3">
      <c r="C123" s="1">
        <v>42646</v>
      </c>
      <c r="D123" s="21">
        <v>168</v>
      </c>
      <c r="E123" s="117"/>
      <c r="F123" t="s">
        <v>115</v>
      </c>
      <c r="G123" s="11">
        <v>185</v>
      </c>
      <c r="H123" s="11">
        <v>37</v>
      </c>
      <c r="I123" s="11">
        <v>222</v>
      </c>
      <c r="J123" s="7">
        <v>201583</v>
      </c>
      <c r="L123" s="1">
        <v>42675</v>
      </c>
      <c r="M123" s="1"/>
    </row>
    <row r="124" spans="3:13" hidden="1" x14ac:dyDescent="0.3">
      <c r="C124" s="1">
        <v>42653</v>
      </c>
      <c r="D124" s="21">
        <v>169</v>
      </c>
      <c r="E124" s="117"/>
      <c r="F124" t="s">
        <v>116</v>
      </c>
      <c r="G124" s="11">
        <v>23.4</v>
      </c>
      <c r="H124" s="11">
        <v>4.68</v>
      </c>
      <c r="I124" s="11">
        <f>SUM(G124:H124)</f>
        <v>28.08</v>
      </c>
      <c r="J124" s="7">
        <v>201585</v>
      </c>
      <c r="L124" s="1">
        <v>42675</v>
      </c>
      <c r="M124" s="1"/>
    </row>
    <row r="125" spans="3:13" hidden="1" x14ac:dyDescent="0.3">
      <c r="C125" s="1">
        <v>42653</v>
      </c>
      <c r="D125" s="21">
        <v>170</v>
      </c>
      <c r="E125" s="117"/>
      <c r="F125" t="s">
        <v>117</v>
      </c>
      <c r="G125" s="11">
        <v>20</v>
      </c>
      <c r="H125" s="11">
        <v>0</v>
      </c>
      <c r="I125" s="11">
        <v>20</v>
      </c>
      <c r="J125" s="7">
        <v>201586</v>
      </c>
      <c r="L125" s="1">
        <v>42675</v>
      </c>
      <c r="M125" s="1"/>
    </row>
    <row r="126" spans="3:13" hidden="1" x14ac:dyDescent="0.3">
      <c r="C126" s="1">
        <v>42656</v>
      </c>
      <c r="D126" s="21">
        <v>171</v>
      </c>
      <c r="E126" s="117"/>
      <c r="F126" t="s">
        <v>118</v>
      </c>
      <c r="G126" s="11">
        <v>38.78</v>
      </c>
      <c r="H126" s="11">
        <v>0</v>
      </c>
      <c r="I126" s="11">
        <v>38.78</v>
      </c>
      <c r="J126" s="7">
        <v>201587</v>
      </c>
      <c r="L126" s="1">
        <v>42675</v>
      </c>
      <c r="M126" s="1"/>
    </row>
    <row r="127" spans="3:13" hidden="1" x14ac:dyDescent="0.3">
      <c r="C127" s="1">
        <v>42656</v>
      </c>
      <c r="D127" s="21">
        <v>172</v>
      </c>
      <c r="E127" s="117"/>
      <c r="F127" t="s">
        <v>119</v>
      </c>
      <c r="G127" s="11">
        <v>6.4</v>
      </c>
      <c r="H127" s="11">
        <v>0</v>
      </c>
      <c r="I127" s="11">
        <v>6.4</v>
      </c>
      <c r="J127" s="7">
        <v>201588</v>
      </c>
      <c r="L127" s="1">
        <v>42675</v>
      </c>
      <c r="M127" s="1"/>
    </row>
    <row r="128" spans="3:13" hidden="1" x14ac:dyDescent="0.3">
      <c r="C128" s="1">
        <v>42656</v>
      </c>
      <c r="D128" s="21">
        <v>173</v>
      </c>
      <c r="E128" s="117"/>
      <c r="F128" t="s">
        <v>120</v>
      </c>
      <c r="G128" s="11">
        <v>43.5</v>
      </c>
      <c r="H128" s="11">
        <v>0</v>
      </c>
      <c r="I128" s="11">
        <v>43.5</v>
      </c>
      <c r="J128" s="7">
        <v>201589</v>
      </c>
      <c r="L128" s="1">
        <v>42675</v>
      </c>
      <c r="M128" s="1"/>
    </row>
    <row r="129" spans="3:13" s="5" customFormat="1" hidden="1" x14ac:dyDescent="0.3">
      <c r="D129" s="22"/>
      <c r="E129" s="113"/>
      <c r="G129" s="12">
        <f>SUM(G113:G128)</f>
        <v>2080.87</v>
      </c>
      <c r="H129" s="12">
        <f>SUM(H113:H128)</f>
        <v>110.18</v>
      </c>
      <c r="I129" s="12">
        <f>SUM(I113:I128)</f>
        <v>2191.0500000000002</v>
      </c>
      <c r="J129" s="16"/>
      <c r="K129" s="8"/>
    </row>
    <row r="130" spans="3:13" hidden="1" x14ac:dyDescent="0.3">
      <c r="C130" s="1">
        <v>42675</v>
      </c>
      <c r="D130" s="21">
        <v>174</v>
      </c>
      <c r="E130" s="117"/>
      <c r="F130" t="s">
        <v>123</v>
      </c>
      <c r="G130" s="11">
        <v>99</v>
      </c>
      <c r="H130" s="11">
        <v>19.8</v>
      </c>
      <c r="I130" s="11">
        <f t="shared" ref="I130:I139" si="6">SUM(G130:H130)</f>
        <v>118.8</v>
      </c>
      <c r="J130" s="7">
        <v>201590</v>
      </c>
      <c r="L130" s="1">
        <v>42709</v>
      </c>
      <c r="M130" s="1"/>
    </row>
    <row r="131" spans="3:13" hidden="1" x14ac:dyDescent="0.3">
      <c r="C131" s="1">
        <v>42675</v>
      </c>
      <c r="D131" s="21">
        <v>175</v>
      </c>
      <c r="E131" s="117"/>
      <c r="F131" t="s">
        <v>124</v>
      </c>
      <c r="G131" s="11">
        <v>30</v>
      </c>
      <c r="I131" s="11">
        <f t="shared" si="6"/>
        <v>30</v>
      </c>
      <c r="J131" s="7">
        <v>201591</v>
      </c>
      <c r="L131" s="1">
        <v>42709</v>
      </c>
      <c r="M131" s="1"/>
    </row>
    <row r="132" spans="3:13" hidden="1" x14ac:dyDescent="0.3">
      <c r="C132" s="1">
        <v>42675</v>
      </c>
      <c r="D132" s="21">
        <v>176</v>
      </c>
      <c r="E132" s="117"/>
      <c r="F132" t="s">
        <v>93</v>
      </c>
      <c r="G132" s="11">
        <v>9.98</v>
      </c>
      <c r="H132" s="11">
        <v>2</v>
      </c>
      <c r="I132" s="11">
        <f t="shared" si="6"/>
        <v>11.98</v>
      </c>
      <c r="J132" s="7">
        <v>201592</v>
      </c>
      <c r="L132" s="1">
        <v>42709</v>
      </c>
      <c r="M132" s="1"/>
    </row>
    <row r="133" spans="3:13" hidden="1" x14ac:dyDescent="0.3">
      <c r="C133" s="1">
        <v>42675</v>
      </c>
      <c r="D133" s="21">
        <v>177</v>
      </c>
      <c r="E133" s="117"/>
      <c r="F133" t="s">
        <v>97</v>
      </c>
      <c r="G133" s="11">
        <v>66.59</v>
      </c>
      <c r="H133" s="11">
        <v>14.03</v>
      </c>
      <c r="I133" s="11">
        <f t="shared" si="6"/>
        <v>80.62</v>
      </c>
      <c r="J133" s="7">
        <v>201593</v>
      </c>
      <c r="L133" s="1">
        <v>42709</v>
      </c>
      <c r="M133" s="1"/>
    </row>
    <row r="134" spans="3:13" hidden="1" x14ac:dyDescent="0.3">
      <c r="C134" s="1">
        <v>42675</v>
      </c>
      <c r="D134" s="21">
        <v>178</v>
      </c>
      <c r="E134" s="117"/>
      <c r="F134" t="s">
        <v>125</v>
      </c>
      <c r="G134" s="11">
        <v>68.88</v>
      </c>
      <c r="H134" s="11">
        <v>12.43</v>
      </c>
      <c r="I134" s="11">
        <f t="shared" si="6"/>
        <v>81.31</v>
      </c>
      <c r="J134" s="7">
        <v>201594</v>
      </c>
      <c r="L134" s="1">
        <v>42709</v>
      </c>
      <c r="M134" s="1"/>
    </row>
    <row r="135" spans="3:13" hidden="1" x14ac:dyDescent="0.3">
      <c r="C135" s="1">
        <v>42675</v>
      </c>
      <c r="D135" s="21">
        <v>179</v>
      </c>
      <c r="E135" s="117"/>
      <c r="F135" t="s">
        <v>88</v>
      </c>
      <c r="G135" s="11">
        <v>392.27</v>
      </c>
      <c r="H135" s="11">
        <v>0</v>
      </c>
      <c r="I135" s="11">
        <f t="shared" si="6"/>
        <v>392.27</v>
      </c>
      <c r="J135" s="7">
        <v>201595</v>
      </c>
      <c r="L135" s="1">
        <v>42709</v>
      </c>
      <c r="M135" s="1"/>
    </row>
    <row r="136" spans="3:13" hidden="1" x14ac:dyDescent="0.3">
      <c r="C136" s="1">
        <v>42675</v>
      </c>
      <c r="D136" s="21">
        <v>179</v>
      </c>
      <c r="E136" s="117"/>
      <c r="F136" t="s">
        <v>103</v>
      </c>
      <c r="G136" s="11">
        <v>15.07</v>
      </c>
      <c r="H136" s="11">
        <v>0</v>
      </c>
      <c r="I136" s="11">
        <f t="shared" si="6"/>
        <v>15.07</v>
      </c>
      <c r="J136" s="7">
        <v>201595</v>
      </c>
      <c r="L136" s="1">
        <v>42709</v>
      </c>
      <c r="M136" s="1"/>
    </row>
    <row r="137" spans="3:13" hidden="1" x14ac:dyDescent="0.3">
      <c r="C137" s="1">
        <v>42675</v>
      </c>
      <c r="D137" s="21">
        <v>179</v>
      </c>
      <c r="E137" s="117"/>
      <c r="F137" t="s">
        <v>126</v>
      </c>
      <c r="G137" s="11">
        <v>20.25</v>
      </c>
      <c r="H137" s="11">
        <v>0</v>
      </c>
      <c r="I137" s="11">
        <f t="shared" si="6"/>
        <v>20.25</v>
      </c>
      <c r="J137" s="7">
        <v>201595</v>
      </c>
      <c r="L137" s="1">
        <v>42709</v>
      </c>
      <c r="M137" s="1"/>
    </row>
    <row r="138" spans="3:13" hidden="1" x14ac:dyDescent="0.3">
      <c r="C138" s="1">
        <v>42675</v>
      </c>
      <c r="D138" s="21">
        <v>180</v>
      </c>
      <c r="E138" s="117"/>
      <c r="F138" t="s">
        <v>39</v>
      </c>
      <c r="G138" s="11">
        <v>180</v>
      </c>
      <c r="H138" s="11">
        <v>0</v>
      </c>
      <c r="I138" s="11">
        <f t="shared" si="6"/>
        <v>180</v>
      </c>
      <c r="J138" s="7">
        <v>201596</v>
      </c>
      <c r="L138" s="1">
        <v>42709</v>
      </c>
      <c r="M138" s="1"/>
    </row>
    <row r="139" spans="3:13" hidden="1" x14ac:dyDescent="0.3">
      <c r="C139" s="1">
        <v>42675</v>
      </c>
      <c r="D139" s="21">
        <v>181</v>
      </c>
      <c r="E139" s="117"/>
      <c r="F139" t="s">
        <v>95</v>
      </c>
      <c r="G139" s="11">
        <v>185</v>
      </c>
      <c r="H139" s="11">
        <v>37</v>
      </c>
      <c r="I139" s="11">
        <f t="shared" si="6"/>
        <v>222</v>
      </c>
      <c r="J139" s="7">
        <v>201597</v>
      </c>
      <c r="L139" s="1">
        <v>42709</v>
      </c>
      <c r="M139" s="1"/>
    </row>
    <row r="140" spans="3:13" hidden="1" x14ac:dyDescent="0.3">
      <c r="C140" s="1">
        <v>42675</v>
      </c>
      <c r="D140" s="21">
        <v>182</v>
      </c>
      <c r="E140" s="117"/>
      <c r="F140" t="s">
        <v>127</v>
      </c>
      <c r="G140" s="11">
        <v>25.98</v>
      </c>
      <c r="H140" s="11">
        <v>0</v>
      </c>
      <c r="I140" s="11">
        <v>25.98</v>
      </c>
      <c r="J140" s="7">
        <v>201598</v>
      </c>
      <c r="L140" s="1">
        <v>42709</v>
      </c>
      <c r="M140" s="1"/>
    </row>
    <row r="141" spans="3:13" hidden="1" x14ac:dyDescent="0.3">
      <c r="C141" s="1">
        <v>42675</v>
      </c>
      <c r="D141" s="21">
        <v>183</v>
      </c>
      <c r="E141" s="117"/>
      <c r="F141" t="s">
        <v>128</v>
      </c>
      <c r="G141" s="11">
        <v>19.8</v>
      </c>
      <c r="H141" s="11">
        <v>0</v>
      </c>
      <c r="I141" s="11">
        <f t="shared" ref="I141:I147" si="7">SUM(G141:H141)</f>
        <v>19.8</v>
      </c>
      <c r="J141" s="7">
        <v>201599</v>
      </c>
      <c r="L141" s="1">
        <v>42709</v>
      </c>
      <c r="M141" s="1"/>
    </row>
    <row r="142" spans="3:13" hidden="1" x14ac:dyDescent="0.3">
      <c r="C142" s="1">
        <v>42676</v>
      </c>
      <c r="D142" s="21">
        <v>184</v>
      </c>
      <c r="E142" s="117"/>
      <c r="F142" t="s">
        <v>129</v>
      </c>
      <c r="G142" s="11">
        <v>209.79</v>
      </c>
      <c r="H142" s="11">
        <v>0</v>
      </c>
      <c r="I142" s="11">
        <f t="shared" si="7"/>
        <v>209.79</v>
      </c>
      <c r="J142" s="7">
        <v>201600</v>
      </c>
      <c r="L142" s="1">
        <v>42709</v>
      </c>
      <c r="M142" s="1"/>
    </row>
    <row r="143" spans="3:13" hidden="1" x14ac:dyDescent="0.3">
      <c r="C143" s="1">
        <v>42676</v>
      </c>
      <c r="D143" s="21">
        <v>185</v>
      </c>
      <c r="E143" s="117"/>
      <c r="F143" t="s">
        <v>130</v>
      </c>
      <c r="G143" s="11">
        <v>35</v>
      </c>
      <c r="H143" s="11">
        <v>0</v>
      </c>
      <c r="I143" s="11">
        <f t="shared" si="7"/>
        <v>35</v>
      </c>
      <c r="J143" s="7" t="s">
        <v>26</v>
      </c>
      <c r="L143" s="1">
        <v>42709</v>
      </c>
      <c r="M143" s="1"/>
    </row>
    <row r="144" spans="3:13" hidden="1" x14ac:dyDescent="0.3">
      <c r="C144" s="1">
        <v>42676</v>
      </c>
      <c r="D144" s="21">
        <v>186</v>
      </c>
      <c r="E144" s="117"/>
      <c r="F144" t="s">
        <v>129</v>
      </c>
      <c r="G144" s="11">
        <v>209.79</v>
      </c>
      <c r="H144" s="11">
        <v>0</v>
      </c>
      <c r="I144" s="11">
        <f t="shared" si="7"/>
        <v>209.79</v>
      </c>
      <c r="J144" s="7">
        <v>201401</v>
      </c>
      <c r="L144" s="1">
        <v>42709</v>
      </c>
      <c r="M144" s="1"/>
    </row>
    <row r="145" spans="3:13" hidden="1" x14ac:dyDescent="0.3">
      <c r="C145" s="1">
        <v>42676</v>
      </c>
      <c r="D145" s="21">
        <v>187</v>
      </c>
      <c r="E145" s="117"/>
      <c r="F145" t="s">
        <v>131</v>
      </c>
      <c r="G145" s="11">
        <v>50</v>
      </c>
      <c r="H145" s="11">
        <v>0</v>
      </c>
      <c r="I145" s="11">
        <f t="shared" si="7"/>
        <v>50</v>
      </c>
      <c r="J145" s="7">
        <v>201402</v>
      </c>
      <c r="L145" s="1">
        <v>42709</v>
      </c>
      <c r="M145" s="1"/>
    </row>
    <row r="146" spans="3:13" hidden="1" x14ac:dyDescent="0.3">
      <c r="C146" s="1">
        <v>42676</v>
      </c>
      <c r="D146" s="21">
        <v>188</v>
      </c>
      <c r="E146" s="117"/>
      <c r="F146" t="s">
        <v>132</v>
      </c>
      <c r="G146" s="11">
        <v>50</v>
      </c>
      <c r="H146" s="11">
        <v>0</v>
      </c>
      <c r="I146" s="11">
        <f t="shared" si="7"/>
        <v>50</v>
      </c>
      <c r="J146" s="7">
        <v>201403</v>
      </c>
      <c r="L146" s="1">
        <v>42709</v>
      </c>
      <c r="M146" s="1"/>
    </row>
    <row r="147" spans="3:13" hidden="1" x14ac:dyDescent="0.3">
      <c r="C147" s="1">
        <v>42709</v>
      </c>
      <c r="D147" s="21">
        <v>190</v>
      </c>
      <c r="E147" s="117"/>
      <c r="F147" t="s">
        <v>133</v>
      </c>
      <c r="G147" s="11">
        <v>244</v>
      </c>
      <c r="H147" s="11">
        <v>48.8</v>
      </c>
      <c r="I147" s="11">
        <f t="shared" si="7"/>
        <v>292.8</v>
      </c>
      <c r="J147" s="7">
        <v>201404</v>
      </c>
      <c r="L147" s="1">
        <v>42709</v>
      </c>
      <c r="M147" s="1"/>
    </row>
    <row r="148" spans="3:13" hidden="1" x14ac:dyDescent="0.3">
      <c r="C148" s="1"/>
      <c r="D148" s="21"/>
      <c r="E148" s="117"/>
      <c r="G148" s="12">
        <f>SUM(G130:G147)</f>
        <v>1911.3999999999999</v>
      </c>
      <c r="H148" s="12">
        <f>SUM(H130:H147)</f>
        <v>134.06</v>
      </c>
      <c r="I148" s="12">
        <f>SUM(I130:I147)</f>
        <v>2045.46</v>
      </c>
    </row>
    <row r="149" spans="3:13" hidden="1" x14ac:dyDescent="0.3">
      <c r="C149" s="1">
        <v>42709</v>
      </c>
      <c r="D149" s="21">
        <v>189</v>
      </c>
      <c r="E149" s="117"/>
      <c r="F149" t="s">
        <v>78</v>
      </c>
      <c r="G149" s="11">
        <v>126</v>
      </c>
      <c r="H149" s="11">
        <v>0</v>
      </c>
      <c r="I149" s="11">
        <f t="shared" ref="I149:I158" si="8">SUM(G149:H149)</f>
        <v>126</v>
      </c>
      <c r="J149" s="7">
        <v>201405</v>
      </c>
      <c r="L149" s="1">
        <v>42738</v>
      </c>
      <c r="M149" s="1"/>
    </row>
    <row r="150" spans="3:13" hidden="1" x14ac:dyDescent="0.3">
      <c r="C150" s="1">
        <v>42709</v>
      </c>
      <c r="D150" s="21">
        <v>191</v>
      </c>
      <c r="E150" s="117"/>
      <c r="F150" t="s">
        <v>31</v>
      </c>
      <c r="G150" s="11">
        <v>310</v>
      </c>
      <c r="H150" s="11">
        <v>0</v>
      </c>
      <c r="I150" s="11">
        <f t="shared" si="8"/>
        <v>310</v>
      </c>
      <c r="J150" s="7">
        <v>201406</v>
      </c>
      <c r="L150" s="1">
        <v>42738</v>
      </c>
      <c r="M150" s="1"/>
    </row>
    <row r="151" spans="3:13" hidden="1" x14ac:dyDescent="0.3">
      <c r="C151" s="1">
        <v>42709</v>
      </c>
      <c r="D151" s="21">
        <v>192</v>
      </c>
      <c r="E151" s="117"/>
      <c r="F151" t="s">
        <v>134</v>
      </c>
      <c r="G151" s="11">
        <v>35</v>
      </c>
      <c r="H151" s="11">
        <v>0</v>
      </c>
      <c r="I151" s="11">
        <f t="shared" si="8"/>
        <v>35</v>
      </c>
      <c r="J151" s="7">
        <v>201407</v>
      </c>
      <c r="L151" s="1">
        <v>42738</v>
      </c>
      <c r="M151" s="1"/>
    </row>
    <row r="152" spans="3:13" hidden="1" x14ac:dyDescent="0.3">
      <c r="C152" s="1">
        <v>42709</v>
      </c>
      <c r="D152" s="21">
        <v>193</v>
      </c>
      <c r="E152" s="117"/>
      <c r="F152" t="s">
        <v>135</v>
      </c>
      <c r="G152" s="11">
        <v>58.17</v>
      </c>
      <c r="H152" s="11">
        <v>5.89</v>
      </c>
      <c r="I152" s="11">
        <f t="shared" si="8"/>
        <v>64.06</v>
      </c>
      <c r="J152" s="7">
        <v>201408</v>
      </c>
      <c r="L152" s="1">
        <v>42738</v>
      </c>
      <c r="M152" s="1"/>
    </row>
    <row r="153" spans="3:13" hidden="1" x14ac:dyDescent="0.3">
      <c r="C153" s="1">
        <v>42709</v>
      </c>
      <c r="D153" s="21">
        <v>194</v>
      </c>
      <c r="E153" s="117"/>
      <c r="F153" t="s">
        <v>88</v>
      </c>
      <c r="G153" s="11">
        <v>586.01</v>
      </c>
      <c r="H153" s="11">
        <v>0</v>
      </c>
      <c r="I153" s="11">
        <f t="shared" si="8"/>
        <v>586.01</v>
      </c>
      <c r="J153" s="7">
        <v>201409</v>
      </c>
      <c r="L153" s="1">
        <v>42738</v>
      </c>
      <c r="M153" s="1"/>
    </row>
    <row r="154" spans="3:13" hidden="1" x14ac:dyDescent="0.3">
      <c r="C154" s="1">
        <v>42709</v>
      </c>
      <c r="D154" s="21">
        <v>194</v>
      </c>
      <c r="E154" s="117"/>
      <c r="F154" t="s">
        <v>103</v>
      </c>
      <c r="G154" s="11">
        <v>15.07</v>
      </c>
      <c r="H154" s="11">
        <v>0</v>
      </c>
      <c r="I154" s="11">
        <f t="shared" si="8"/>
        <v>15.07</v>
      </c>
      <c r="J154" s="7">
        <v>201409</v>
      </c>
      <c r="L154" s="1">
        <v>42738</v>
      </c>
      <c r="M154" s="1"/>
    </row>
    <row r="155" spans="3:13" hidden="1" x14ac:dyDescent="0.3">
      <c r="C155" s="1">
        <v>42709</v>
      </c>
      <c r="D155" s="21">
        <v>194</v>
      </c>
      <c r="E155" s="117"/>
      <c r="F155" t="s">
        <v>126</v>
      </c>
      <c r="G155" s="11">
        <v>24.75</v>
      </c>
      <c r="H155" s="11">
        <v>0</v>
      </c>
      <c r="I155" s="11">
        <f t="shared" si="8"/>
        <v>24.75</v>
      </c>
      <c r="J155" s="7">
        <v>201409</v>
      </c>
      <c r="L155" s="1">
        <v>42738</v>
      </c>
      <c r="M155" s="1"/>
    </row>
    <row r="156" spans="3:13" hidden="1" x14ac:dyDescent="0.3">
      <c r="C156" s="1">
        <v>42709</v>
      </c>
      <c r="D156" s="21">
        <v>195</v>
      </c>
      <c r="E156" s="117"/>
      <c r="F156" t="s">
        <v>136</v>
      </c>
      <c r="G156" s="11">
        <v>738.95</v>
      </c>
      <c r="H156" s="11">
        <v>147.79</v>
      </c>
      <c r="I156" s="11">
        <f t="shared" si="8"/>
        <v>886.74</v>
      </c>
      <c r="J156" s="7">
        <v>201410</v>
      </c>
      <c r="L156" s="1">
        <v>42738</v>
      </c>
      <c r="M156" s="1"/>
    </row>
    <row r="157" spans="3:13" hidden="1" x14ac:dyDescent="0.3">
      <c r="C157" s="1">
        <v>42709</v>
      </c>
      <c r="D157" s="21">
        <v>196</v>
      </c>
      <c r="E157" s="117"/>
      <c r="F157" t="s">
        <v>137</v>
      </c>
      <c r="G157" s="11">
        <v>20</v>
      </c>
      <c r="H157" s="11">
        <v>0</v>
      </c>
      <c r="I157" s="11">
        <f t="shared" si="8"/>
        <v>20</v>
      </c>
      <c r="J157" s="7">
        <v>201412</v>
      </c>
      <c r="L157" s="1">
        <v>42738</v>
      </c>
      <c r="M157" s="1"/>
    </row>
    <row r="158" spans="3:13" hidden="1" x14ac:dyDescent="0.3">
      <c r="C158" s="1">
        <v>42709</v>
      </c>
      <c r="D158" s="21">
        <v>197</v>
      </c>
      <c r="E158" s="117"/>
      <c r="F158" t="s">
        <v>138</v>
      </c>
      <c r="G158" s="11">
        <v>107.35</v>
      </c>
      <c r="H158" s="11">
        <v>21.47</v>
      </c>
      <c r="I158" s="11">
        <f t="shared" si="8"/>
        <v>128.82</v>
      </c>
      <c r="J158" s="7">
        <v>201413</v>
      </c>
      <c r="L158" s="1">
        <v>42738</v>
      </c>
      <c r="M158" s="1"/>
    </row>
    <row r="159" spans="3:13" hidden="1" x14ac:dyDescent="0.3">
      <c r="C159" s="1">
        <v>42719</v>
      </c>
      <c r="D159" s="21">
        <v>198</v>
      </c>
      <c r="E159" s="117"/>
      <c r="F159" t="s">
        <v>139</v>
      </c>
      <c r="G159" s="11">
        <v>20000</v>
      </c>
      <c r="H159" s="11">
        <v>0</v>
      </c>
      <c r="I159" s="11">
        <v>20000</v>
      </c>
      <c r="J159" s="7">
        <v>201414</v>
      </c>
      <c r="L159" s="1">
        <v>42738</v>
      </c>
      <c r="M159" s="1"/>
    </row>
    <row r="160" spans="3:13" hidden="1" x14ac:dyDescent="0.3">
      <c r="C160" s="1">
        <v>42719</v>
      </c>
      <c r="D160" s="21">
        <v>199</v>
      </c>
      <c r="E160" s="117"/>
      <c r="F160" t="s">
        <v>127</v>
      </c>
      <c r="G160" s="11">
        <v>92.98</v>
      </c>
      <c r="H160" s="11">
        <v>0</v>
      </c>
      <c r="I160" s="11">
        <f>SUM(G160:H160)</f>
        <v>92.98</v>
      </c>
      <c r="J160" s="7">
        <v>201415</v>
      </c>
      <c r="L160" s="1">
        <v>42738</v>
      </c>
      <c r="M160" s="1"/>
    </row>
    <row r="161" spans="3:13" s="11" customFormat="1" hidden="1" x14ac:dyDescent="0.3">
      <c r="D161" s="23"/>
      <c r="E161" s="118"/>
      <c r="G161" s="12">
        <f>SUM(G149:G160)</f>
        <v>22114.28</v>
      </c>
      <c r="H161" s="12">
        <f>SUM(H149:H160)</f>
        <v>175.14999999999998</v>
      </c>
      <c r="I161" s="12">
        <f>SUM(I149:I160)</f>
        <v>22289.43</v>
      </c>
      <c r="J161" s="7"/>
      <c r="K161" s="1"/>
    </row>
    <row r="162" spans="3:13" hidden="1" x14ac:dyDescent="0.3">
      <c r="C162" s="1">
        <v>42738</v>
      </c>
      <c r="D162" s="21">
        <v>200</v>
      </c>
      <c r="E162" s="117"/>
      <c r="F162" t="s">
        <v>98</v>
      </c>
      <c r="G162" s="11">
        <v>74.900000000000006</v>
      </c>
      <c r="H162" s="11">
        <v>0</v>
      </c>
      <c r="I162" s="11">
        <f t="shared" ref="I162:I182" si="9">SUM(G162:H162)</f>
        <v>74.900000000000006</v>
      </c>
      <c r="J162" s="7">
        <v>201416</v>
      </c>
      <c r="L162" s="1">
        <v>42768</v>
      </c>
      <c r="M162" s="1"/>
    </row>
    <row r="163" spans="3:13" hidden="1" x14ac:dyDescent="0.3">
      <c r="C163" s="1">
        <v>42738</v>
      </c>
      <c r="D163" s="19">
        <v>201</v>
      </c>
      <c r="F163" t="s">
        <v>97</v>
      </c>
      <c r="G163" s="11">
        <v>70</v>
      </c>
      <c r="H163" s="11">
        <v>14</v>
      </c>
      <c r="I163" s="11">
        <f t="shared" si="9"/>
        <v>84</v>
      </c>
      <c r="J163" s="7">
        <v>201417</v>
      </c>
      <c r="L163" s="1">
        <v>42768</v>
      </c>
      <c r="M163" s="1"/>
    </row>
    <row r="164" spans="3:13" hidden="1" x14ac:dyDescent="0.3">
      <c r="C164" s="1">
        <v>42738</v>
      </c>
      <c r="D164" s="21" t="s">
        <v>140</v>
      </c>
      <c r="E164" s="117"/>
      <c r="G164" s="11">
        <v>775.51</v>
      </c>
      <c r="H164" s="11">
        <v>0</v>
      </c>
      <c r="I164" s="11">
        <f t="shared" si="9"/>
        <v>775.51</v>
      </c>
      <c r="J164" s="7">
        <v>201418</v>
      </c>
      <c r="L164" s="1">
        <v>42768</v>
      </c>
      <c r="M164" s="1"/>
    </row>
    <row r="165" spans="3:13" hidden="1" x14ac:dyDescent="0.3">
      <c r="C165" s="1">
        <v>42738</v>
      </c>
      <c r="D165" s="21">
        <v>203</v>
      </c>
      <c r="E165" s="117"/>
      <c r="F165" t="s">
        <v>88</v>
      </c>
      <c r="G165" s="11">
        <v>602.03</v>
      </c>
      <c r="H165" s="11">
        <v>0</v>
      </c>
      <c r="I165" s="11">
        <f t="shared" si="9"/>
        <v>602.03</v>
      </c>
      <c r="J165" s="7">
        <v>201419</v>
      </c>
      <c r="L165" s="1">
        <v>42768</v>
      </c>
      <c r="M165" s="1"/>
    </row>
    <row r="166" spans="3:13" hidden="1" x14ac:dyDescent="0.3">
      <c r="C166" s="1">
        <v>42738</v>
      </c>
      <c r="D166" s="21">
        <v>203</v>
      </c>
      <c r="E166" s="117"/>
      <c r="F166" t="s">
        <v>141</v>
      </c>
      <c r="G166" s="11">
        <v>15.07</v>
      </c>
      <c r="H166" s="11">
        <v>0</v>
      </c>
      <c r="I166" s="11">
        <f t="shared" si="9"/>
        <v>15.07</v>
      </c>
      <c r="J166" s="7">
        <v>201419</v>
      </c>
      <c r="L166" s="1">
        <v>42768</v>
      </c>
      <c r="M166" s="1"/>
    </row>
    <row r="167" spans="3:13" hidden="1" x14ac:dyDescent="0.3">
      <c r="C167" s="1">
        <v>42745</v>
      </c>
      <c r="D167" s="21">
        <v>204</v>
      </c>
      <c r="E167" s="117"/>
      <c r="F167" t="s">
        <v>142</v>
      </c>
      <c r="G167" s="11">
        <v>16.78</v>
      </c>
      <c r="H167" s="11">
        <v>0</v>
      </c>
      <c r="I167" s="11">
        <f t="shared" si="9"/>
        <v>16.78</v>
      </c>
      <c r="J167" s="7">
        <v>201420</v>
      </c>
      <c r="L167" s="1">
        <v>42768</v>
      </c>
      <c r="M167" s="1"/>
    </row>
    <row r="168" spans="3:13" hidden="1" x14ac:dyDescent="0.3">
      <c r="C168" s="1">
        <v>42745</v>
      </c>
      <c r="D168" s="21">
        <v>205</v>
      </c>
      <c r="E168" s="117"/>
      <c r="F168" t="s">
        <v>143</v>
      </c>
      <c r="G168" s="11">
        <v>185</v>
      </c>
      <c r="H168" s="11">
        <v>37</v>
      </c>
      <c r="I168" s="11">
        <f t="shared" si="9"/>
        <v>222</v>
      </c>
      <c r="J168" s="7">
        <v>201421</v>
      </c>
      <c r="L168" s="1">
        <v>42768</v>
      </c>
      <c r="M168" s="1"/>
    </row>
    <row r="169" spans="3:13" hidden="1" x14ac:dyDescent="0.3">
      <c r="D169" s="21"/>
      <c r="E169" s="117"/>
      <c r="G169" s="12">
        <f>SUM(G162:G168)</f>
        <v>1739.29</v>
      </c>
      <c r="H169" s="12">
        <f>SUM(H162:H168)</f>
        <v>51</v>
      </c>
      <c r="I169" s="12">
        <f t="shared" si="9"/>
        <v>1790.29</v>
      </c>
    </row>
    <row r="170" spans="3:13" hidden="1" x14ac:dyDescent="0.3">
      <c r="C170" s="1">
        <v>42768</v>
      </c>
      <c r="D170" s="21">
        <v>206</v>
      </c>
      <c r="E170" s="117"/>
      <c r="F170" t="s">
        <v>144</v>
      </c>
      <c r="G170" s="11">
        <v>20.84</v>
      </c>
      <c r="H170" s="11">
        <v>4.16</v>
      </c>
      <c r="I170" s="11">
        <f t="shared" si="9"/>
        <v>25</v>
      </c>
      <c r="J170" s="7">
        <v>201422</v>
      </c>
      <c r="L170" s="1">
        <v>42797</v>
      </c>
      <c r="M170" s="1"/>
    </row>
    <row r="171" spans="3:13" hidden="1" x14ac:dyDescent="0.3">
      <c r="C171" s="1">
        <v>42768</v>
      </c>
      <c r="D171" s="21">
        <v>207</v>
      </c>
      <c r="E171" s="117"/>
      <c r="F171" t="s">
        <v>127</v>
      </c>
      <c r="G171" s="11">
        <v>15.29</v>
      </c>
      <c r="H171" s="11">
        <v>0</v>
      </c>
      <c r="I171" s="11">
        <f t="shared" si="9"/>
        <v>15.29</v>
      </c>
      <c r="J171" s="7">
        <v>201423</v>
      </c>
      <c r="L171" s="1">
        <v>42797</v>
      </c>
      <c r="M171" s="1"/>
    </row>
    <row r="172" spans="3:13" hidden="1" x14ac:dyDescent="0.3">
      <c r="C172" s="1">
        <v>42768</v>
      </c>
      <c r="D172" s="21">
        <v>208</v>
      </c>
      <c r="E172" s="117"/>
      <c r="F172" t="s">
        <v>97</v>
      </c>
      <c r="G172" s="11">
        <v>69.7</v>
      </c>
      <c r="H172" s="11">
        <v>13.94</v>
      </c>
      <c r="I172" s="11">
        <f t="shared" si="9"/>
        <v>83.64</v>
      </c>
      <c r="J172" s="7">
        <v>201424</v>
      </c>
      <c r="L172" s="1">
        <v>42797</v>
      </c>
      <c r="M172" s="1"/>
    </row>
    <row r="173" spans="3:13" hidden="1" x14ac:dyDescent="0.3">
      <c r="C173" s="1">
        <v>42768</v>
      </c>
      <c r="D173" s="21">
        <v>209</v>
      </c>
      <c r="E173" s="117"/>
      <c r="F173" t="s">
        <v>145</v>
      </c>
      <c r="G173" s="11">
        <v>50</v>
      </c>
      <c r="H173" s="11">
        <v>0</v>
      </c>
      <c r="I173" s="11">
        <f t="shared" si="9"/>
        <v>50</v>
      </c>
      <c r="J173" s="7">
        <v>201425</v>
      </c>
      <c r="L173" s="1">
        <v>42797</v>
      </c>
      <c r="M173" s="1"/>
    </row>
    <row r="174" spans="3:13" hidden="1" x14ac:dyDescent="0.3">
      <c r="C174" s="1">
        <v>42768</v>
      </c>
      <c r="D174" s="21">
        <v>210</v>
      </c>
      <c r="E174" s="117"/>
      <c r="F174" t="s">
        <v>88</v>
      </c>
      <c r="G174" s="11">
        <v>602.04999999999995</v>
      </c>
      <c r="H174" s="11">
        <v>0</v>
      </c>
      <c r="I174" s="11">
        <f t="shared" si="9"/>
        <v>602.04999999999995</v>
      </c>
      <c r="J174" s="7">
        <v>201426</v>
      </c>
      <c r="L174" s="1">
        <v>42797</v>
      </c>
      <c r="M174" s="1"/>
    </row>
    <row r="175" spans="3:13" hidden="1" x14ac:dyDescent="0.3">
      <c r="C175" s="1">
        <v>42768</v>
      </c>
      <c r="D175" s="21">
        <v>210</v>
      </c>
      <c r="E175" s="117"/>
      <c r="F175" t="s">
        <v>103</v>
      </c>
      <c r="G175" s="11">
        <v>15.07</v>
      </c>
      <c r="H175" s="11">
        <v>0</v>
      </c>
      <c r="I175" s="11">
        <f t="shared" si="9"/>
        <v>15.07</v>
      </c>
      <c r="J175" s="7">
        <v>201426</v>
      </c>
      <c r="L175" s="1">
        <v>42797</v>
      </c>
      <c r="M175" s="1"/>
    </row>
    <row r="176" spans="3:13" hidden="1" x14ac:dyDescent="0.3">
      <c r="C176" s="1">
        <v>42768</v>
      </c>
      <c r="D176" s="21">
        <v>211</v>
      </c>
      <c r="E176" s="117"/>
      <c r="F176" t="s">
        <v>105</v>
      </c>
      <c r="G176" s="11">
        <v>0</v>
      </c>
      <c r="H176" s="11">
        <v>0</v>
      </c>
      <c r="I176" s="11">
        <f t="shared" si="9"/>
        <v>0</v>
      </c>
      <c r="J176" s="7">
        <v>0</v>
      </c>
      <c r="L176" s="1">
        <v>42797</v>
      </c>
      <c r="M176" s="1"/>
    </row>
    <row r="177" spans="2:13" hidden="1" x14ac:dyDescent="0.3">
      <c r="C177" s="1">
        <v>42768</v>
      </c>
      <c r="D177" s="21">
        <v>212</v>
      </c>
      <c r="E177" s="117"/>
      <c r="F177" t="s">
        <v>146</v>
      </c>
      <c r="G177" s="11">
        <v>89</v>
      </c>
      <c r="H177" s="11">
        <v>17.8</v>
      </c>
      <c r="I177" s="11">
        <f t="shared" si="9"/>
        <v>106.8</v>
      </c>
      <c r="J177" s="7">
        <v>201427</v>
      </c>
      <c r="L177" s="1">
        <v>42797</v>
      </c>
      <c r="M177" s="1"/>
    </row>
    <row r="178" spans="2:13" hidden="1" x14ac:dyDescent="0.3">
      <c r="C178" s="1">
        <v>42773</v>
      </c>
      <c r="D178" s="21">
        <v>213</v>
      </c>
      <c r="E178" s="117"/>
      <c r="F178" t="s">
        <v>147</v>
      </c>
      <c r="G178" s="11">
        <v>318.14999999999998</v>
      </c>
      <c r="H178" s="11">
        <v>0</v>
      </c>
      <c r="I178" s="11">
        <f t="shared" si="9"/>
        <v>318.14999999999998</v>
      </c>
      <c r="J178" s="7">
        <v>201428</v>
      </c>
      <c r="L178" s="1">
        <v>42797</v>
      </c>
      <c r="M178" s="1"/>
    </row>
    <row r="179" spans="2:13" hidden="1" x14ac:dyDescent="0.3">
      <c r="C179" s="1">
        <v>42773</v>
      </c>
      <c r="D179" s="21">
        <v>214</v>
      </c>
      <c r="E179" s="117"/>
      <c r="F179" t="s">
        <v>148</v>
      </c>
      <c r="G179" s="11">
        <v>122</v>
      </c>
      <c r="H179" s="11">
        <v>0</v>
      </c>
      <c r="I179" s="11">
        <f t="shared" si="9"/>
        <v>122</v>
      </c>
      <c r="J179" s="7">
        <v>201429</v>
      </c>
      <c r="L179" s="1">
        <v>42797</v>
      </c>
      <c r="M179" s="1"/>
    </row>
    <row r="180" spans="2:13" hidden="1" x14ac:dyDescent="0.3">
      <c r="B180" s="1"/>
      <c r="C180" s="1">
        <v>42785</v>
      </c>
      <c r="D180" s="21">
        <v>215</v>
      </c>
      <c r="E180" s="117"/>
      <c r="F180" t="s">
        <v>128</v>
      </c>
      <c r="G180" s="11">
        <v>15.58</v>
      </c>
      <c r="H180" s="11">
        <v>0</v>
      </c>
      <c r="I180" s="11">
        <f t="shared" si="9"/>
        <v>15.58</v>
      </c>
      <c r="J180" s="7">
        <v>201433</v>
      </c>
      <c r="L180" s="1">
        <v>42797</v>
      </c>
      <c r="M180" s="1"/>
    </row>
    <row r="181" spans="2:13" hidden="1" x14ac:dyDescent="0.3">
      <c r="C181" s="1">
        <v>42785</v>
      </c>
      <c r="D181" s="21">
        <v>216</v>
      </c>
      <c r="E181" s="117"/>
      <c r="F181" t="s">
        <v>93</v>
      </c>
      <c r="G181" s="11">
        <v>20.48</v>
      </c>
      <c r="H181" s="11">
        <v>4.0999999999999996</v>
      </c>
      <c r="I181" s="11">
        <f t="shared" si="9"/>
        <v>24.58</v>
      </c>
      <c r="J181" s="7">
        <v>201430</v>
      </c>
      <c r="L181" s="1">
        <v>42797</v>
      </c>
      <c r="M181" s="1"/>
    </row>
    <row r="182" spans="2:13" hidden="1" x14ac:dyDescent="0.3">
      <c r="C182" s="1">
        <v>42419</v>
      </c>
      <c r="D182" s="21">
        <v>217</v>
      </c>
      <c r="E182" s="117"/>
      <c r="F182" t="s">
        <v>149</v>
      </c>
      <c r="G182" s="11">
        <v>26.49</v>
      </c>
      <c r="H182" s="11">
        <v>5.3</v>
      </c>
      <c r="I182" s="11">
        <f t="shared" si="9"/>
        <v>31.79</v>
      </c>
      <c r="J182" s="7">
        <v>201431</v>
      </c>
      <c r="L182" s="1">
        <v>42797</v>
      </c>
      <c r="M182" s="1"/>
    </row>
    <row r="183" spans="2:13" hidden="1" x14ac:dyDescent="0.3">
      <c r="C183" s="1">
        <v>42786</v>
      </c>
      <c r="D183" s="21"/>
      <c r="E183" s="117"/>
      <c r="F183" t="s">
        <v>150</v>
      </c>
      <c r="G183" s="11">
        <v>15</v>
      </c>
      <c r="H183" s="11">
        <v>0</v>
      </c>
      <c r="I183" s="11">
        <v>15</v>
      </c>
      <c r="J183" s="7" t="s">
        <v>57</v>
      </c>
      <c r="L183" s="1">
        <v>42797</v>
      </c>
      <c r="M183" s="1"/>
    </row>
    <row r="184" spans="2:13" hidden="1" x14ac:dyDescent="0.3">
      <c r="C184" s="1">
        <v>42795</v>
      </c>
      <c r="D184" s="21">
        <v>189</v>
      </c>
      <c r="E184" s="117"/>
      <c r="F184" t="s">
        <v>78</v>
      </c>
      <c r="G184" s="11">
        <v>-126</v>
      </c>
      <c r="I184" s="11">
        <v>-126</v>
      </c>
      <c r="J184" s="7">
        <v>201405</v>
      </c>
      <c r="L184" s="1">
        <v>42797</v>
      </c>
      <c r="M184" s="1"/>
    </row>
    <row r="185" spans="2:13" hidden="1" x14ac:dyDescent="0.3">
      <c r="C185" s="1">
        <v>42795</v>
      </c>
      <c r="D185" s="21">
        <v>118</v>
      </c>
      <c r="E185" s="117"/>
      <c r="F185" t="s">
        <v>78</v>
      </c>
      <c r="G185" s="11">
        <v>-42</v>
      </c>
      <c r="I185" s="11">
        <v>-42</v>
      </c>
      <c r="J185" s="7">
        <v>201532</v>
      </c>
      <c r="L185" s="1">
        <v>42797</v>
      </c>
      <c r="M185" s="1"/>
    </row>
    <row r="186" spans="2:13" s="5" customFormat="1" hidden="1" x14ac:dyDescent="0.3">
      <c r="D186" s="22"/>
      <c r="E186" s="113"/>
      <c r="G186" s="12">
        <f>SUM(G170:G185)</f>
        <v>1211.6499999999999</v>
      </c>
      <c r="H186" s="12">
        <f>SUM(H170:H185)</f>
        <v>45.300000000000004</v>
      </c>
      <c r="I186" s="12">
        <f>SUM(I170:I185)</f>
        <v>1256.9499999999998</v>
      </c>
      <c r="J186" s="16"/>
      <c r="K186" s="8"/>
    </row>
    <row r="187" spans="2:13" hidden="1" x14ac:dyDescent="0.3">
      <c r="C187" s="1">
        <v>42793</v>
      </c>
      <c r="D187" s="21">
        <v>213</v>
      </c>
      <c r="E187" s="117"/>
      <c r="F187" t="s">
        <v>147</v>
      </c>
      <c r="G187" s="11">
        <v>318.14999999999998</v>
      </c>
      <c r="I187" s="11">
        <v>318.14999999999998</v>
      </c>
      <c r="J187" s="7">
        <v>201432</v>
      </c>
      <c r="L187" s="1">
        <v>42828</v>
      </c>
      <c r="M187" s="1"/>
    </row>
    <row r="188" spans="2:13" hidden="1" x14ac:dyDescent="0.3">
      <c r="C188" s="1">
        <v>42795</v>
      </c>
      <c r="D188" s="21">
        <v>218</v>
      </c>
      <c r="E188" s="117"/>
      <c r="F188" t="s">
        <v>151</v>
      </c>
      <c r="G188" s="11">
        <v>602.04999999999995</v>
      </c>
      <c r="I188" s="11">
        <v>602.04999999999995</v>
      </c>
      <c r="J188" s="7">
        <v>201434</v>
      </c>
      <c r="L188" s="1">
        <v>42828</v>
      </c>
      <c r="M188" s="1"/>
    </row>
    <row r="189" spans="2:13" hidden="1" x14ac:dyDescent="0.3">
      <c r="C189" s="1">
        <v>42795</v>
      </c>
      <c r="D189" s="21">
        <v>218</v>
      </c>
      <c r="E189" s="117"/>
      <c r="F189" t="s">
        <v>152</v>
      </c>
      <c r="G189" s="11">
        <v>15.07</v>
      </c>
      <c r="I189" s="11">
        <v>15.07</v>
      </c>
      <c r="J189" s="7">
        <v>201434</v>
      </c>
      <c r="L189" s="1">
        <v>42828</v>
      </c>
      <c r="M189" s="1"/>
    </row>
    <row r="190" spans="2:13" hidden="1" x14ac:dyDescent="0.3">
      <c r="C190" s="1">
        <v>42795</v>
      </c>
      <c r="D190" s="21">
        <v>218</v>
      </c>
      <c r="E190" s="117"/>
      <c r="F190" t="s">
        <v>113</v>
      </c>
      <c r="G190" s="11">
        <v>49.5</v>
      </c>
      <c r="I190" s="11">
        <v>49.5</v>
      </c>
      <c r="J190" s="7">
        <v>201434</v>
      </c>
      <c r="L190" s="1">
        <v>42828</v>
      </c>
      <c r="M190" s="1"/>
    </row>
    <row r="191" spans="2:13" hidden="1" x14ac:dyDescent="0.3">
      <c r="C191" s="1">
        <v>42813</v>
      </c>
      <c r="D191" s="21">
        <v>219</v>
      </c>
      <c r="E191" s="117"/>
      <c r="F191" t="s">
        <v>153</v>
      </c>
      <c r="G191" s="11">
        <v>250</v>
      </c>
      <c r="H191" s="11">
        <v>50</v>
      </c>
      <c r="I191" s="11">
        <f>SUM(G191:H191)</f>
        <v>300</v>
      </c>
      <c r="J191" s="7">
        <v>201435</v>
      </c>
      <c r="L191" s="1">
        <v>42828</v>
      </c>
      <c r="M191" s="1"/>
    </row>
    <row r="192" spans="2:13" hidden="1" x14ac:dyDescent="0.3">
      <c r="C192" s="1">
        <v>42813</v>
      </c>
      <c r="D192" s="21">
        <v>220</v>
      </c>
      <c r="E192" s="117"/>
      <c r="F192" t="s">
        <v>154</v>
      </c>
      <c r="G192" s="11">
        <v>555</v>
      </c>
      <c r="H192" s="11">
        <v>111</v>
      </c>
      <c r="I192" s="11">
        <f>SUM(G192:H192)</f>
        <v>666</v>
      </c>
      <c r="J192" s="7">
        <v>201436</v>
      </c>
      <c r="L192" s="1">
        <v>42828</v>
      </c>
      <c r="M192" s="1"/>
    </row>
    <row r="193" spans="3:20" hidden="1" x14ac:dyDescent="0.3">
      <c r="C193" s="1">
        <v>42813</v>
      </c>
      <c r="D193" s="21">
        <v>221</v>
      </c>
      <c r="E193" s="117"/>
      <c r="F193" t="s">
        <v>39</v>
      </c>
      <c r="G193" s="11">
        <v>180</v>
      </c>
      <c r="H193" s="11">
        <v>0</v>
      </c>
      <c r="I193" s="11">
        <f>SUM(G193:H193)</f>
        <v>180</v>
      </c>
      <c r="J193" s="7">
        <v>201437</v>
      </c>
      <c r="L193" s="1">
        <v>42828</v>
      </c>
      <c r="M193" s="1"/>
    </row>
    <row r="194" spans="3:20" hidden="1" x14ac:dyDescent="0.3">
      <c r="C194" s="1">
        <v>42813</v>
      </c>
      <c r="D194" s="21">
        <v>222</v>
      </c>
      <c r="E194" s="117"/>
      <c r="F194" t="s">
        <v>155</v>
      </c>
      <c r="G194" s="11">
        <v>693</v>
      </c>
      <c r="H194" s="11">
        <v>0</v>
      </c>
      <c r="I194" s="11">
        <f>SUM(G194:H194)</f>
        <v>693</v>
      </c>
      <c r="J194" s="7" t="s">
        <v>156</v>
      </c>
      <c r="L194" s="1">
        <v>42828</v>
      </c>
      <c r="M194" s="1"/>
    </row>
    <row r="195" spans="3:20" hidden="1" x14ac:dyDescent="0.3">
      <c r="D195" s="21"/>
      <c r="E195" s="117"/>
      <c r="G195" s="12">
        <f>SUM(G187:G194)</f>
        <v>2662.77</v>
      </c>
      <c r="H195" s="12">
        <f>SUM(H187:H194)</f>
        <v>161</v>
      </c>
      <c r="I195" s="12">
        <f>SUM(I187:I194)</f>
        <v>2823.77</v>
      </c>
    </row>
    <row r="196" spans="3:20" s="13" customFormat="1" hidden="1" x14ac:dyDescent="0.3">
      <c r="D196" s="24"/>
      <c r="E196" s="119"/>
      <c r="G196" s="15"/>
      <c r="H196" s="15"/>
      <c r="I196" s="15"/>
      <c r="J196" s="17"/>
      <c r="K196" s="25"/>
    </row>
    <row r="197" spans="3:20" hidden="1" x14ac:dyDescent="0.3">
      <c r="C197" s="1">
        <v>42829</v>
      </c>
      <c r="D197" s="21">
        <v>223</v>
      </c>
      <c r="E197" s="117"/>
      <c r="F197" t="s">
        <v>97</v>
      </c>
      <c r="G197" s="11">
        <v>70</v>
      </c>
      <c r="H197" s="11">
        <v>14</v>
      </c>
      <c r="I197" s="11">
        <v>84</v>
      </c>
      <c r="J197" s="7">
        <v>201438</v>
      </c>
    </row>
    <row r="198" spans="3:20" hidden="1" x14ac:dyDescent="0.3">
      <c r="D198" s="21">
        <v>224</v>
      </c>
      <c r="E198" s="117"/>
      <c r="F198" t="s">
        <v>159</v>
      </c>
      <c r="G198" s="11">
        <v>608.04999999999995</v>
      </c>
      <c r="H198" s="11">
        <v>0</v>
      </c>
      <c r="I198" s="11">
        <v>608.04999999999995</v>
      </c>
      <c r="J198" s="7">
        <v>201439</v>
      </c>
    </row>
    <row r="199" spans="3:20" hidden="1" x14ac:dyDescent="0.3">
      <c r="D199" s="21">
        <v>224</v>
      </c>
      <c r="E199" s="117"/>
      <c r="F199" t="s">
        <v>160</v>
      </c>
      <c r="G199" s="11">
        <v>15.07</v>
      </c>
      <c r="H199" s="11">
        <v>0</v>
      </c>
      <c r="I199" s="11">
        <v>15.07</v>
      </c>
      <c r="J199" s="7">
        <v>201439</v>
      </c>
    </row>
    <row r="200" spans="3:20" hidden="1" x14ac:dyDescent="0.3">
      <c r="D200" s="21">
        <v>224</v>
      </c>
      <c r="E200" s="117"/>
      <c r="F200" t="s">
        <v>161</v>
      </c>
      <c r="G200" s="11">
        <v>40.5</v>
      </c>
      <c r="H200" s="11">
        <v>0</v>
      </c>
      <c r="I200" s="11">
        <v>40.5</v>
      </c>
      <c r="J200" s="7">
        <v>201439</v>
      </c>
    </row>
    <row r="201" spans="3:20" hidden="1" x14ac:dyDescent="0.3">
      <c r="D201" s="21">
        <v>225</v>
      </c>
      <c r="E201" s="117"/>
      <c r="F201" t="s">
        <v>39</v>
      </c>
      <c r="G201" s="11">
        <v>180</v>
      </c>
      <c r="H201" s="11">
        <v>0</v>
      </c>
      <c r="I201" s="11">
        <v>180</v>
      </c>
      <c r="J201" s="7">
        <v>201440</v>
      </c>
    </row>
    <row r="202" spans="3:20" hidden="1" x14ac:dyDescent="0.3">
      <c r="D202" s="21"/>
      <c r="E202" s="117"/>
      <c r="G202" s="12">
        <f>SUM(G197:G201)</f>
        <v>913.62</v>
      </c>
      <c r="H202" s="12">
        <f>SUM(H197:H201)</f>
        <v>14</v>
      </c>
      <c r="I202" s="12">
        <f>SUM(I197:I201)</f>
        <v>927.62</v>
      </c>
      <c r="T202" s="5" t="s">
        <v>68</v>
      </c>
    </row>
    <row r="203" spans="3:20" hidden="1" x14ac:dyDescent="0.3">
      <c r="C203" s="1">
        <v>42857</v>
      </c>
      <c r="D203" s="21">
        <v>226</v>
      </c>
      <c r="E203" s="117"/>
      <c r="F203" t="s">
        <v>162</v>
      </c>
      <c r="G203" s="11">
        <v>25</v>
      </c>
      <c r="H203" s="11">
        <v>0</v>
      </c>
      <c r="I203" s="11">
        <v>25</v>
      </c>
      <c r="J203" s="7">
        <v>201441</v>
      </c>
      <c r="N203" s="5"/>
      <c r="O203" s="5"/>
      <c r="P203" s="5" t="s">
        <v>12</v>
      </c>
      <c r="Q203" s="5"/>
      <c r="R203" s="5" t="s">
        <v>13</v>
      </c>
      <c r="S203" s="5" t="s">
        <v>14</v>
      </c>
      <c r="T203" s="5">
        <v>983.39</v>
      </c>
    </row>
    <row r="204" spans="3:20" hidden="1" x14ac:dyDescent="0.3">
      <c r="D204" s="21">
        <v>227</v>
      </c>
      <c r="E204" s="117"/>
      <c r="F204" t="s">
        <v>159</v>
      </c>
      <c r="G204" s="11">
        <v>608.04999999999995</v>
      </c>
      <c r="H204" s="11">
        <v>0</v>
      </c>
      <c r="I204" s="11">
        <v>608.04999999999995</v>
      </c>
      <c r="J204" s="7">
        <v>201442</v>
      </c>
      <c r="N204" s="5" t="s">
        <v>5</v>
      </c>
      <c r="O204" s="5"/>
      <c r="P204">
        <v>927.62</v>
      </c>
      <c r="R204">
        <v>366.96</v>
      </c>
      <c r="S204">
        <v>0</v>
      </c>
      <c r="T204">
        <f>T203-P204+R204+S204</f>
        <v>422.72999999999996</v>
      </c>
    </row>
    <row r="205" spans="3:20" hidden="1" x14ac:dyDescent="0.3">
      <c r="D205" s="19">
        <v>227</v>
      </c>
      <c r="F205" t="s">
        <v>160</v>
      </c>
      <c r="G205" s="11">
        <v>15.07</v>
      </c>
      <c r="H205" s="11">
        <v>0</v>
      </c>
      <c r="I205" s="11">
        <v>15.07</v>
      </c>
      <c r="J205" s="7">
        <v>201442</v>
      </c>
      <c r="N205" s="5" t="s">
        <v>7</v>
      </c>
      <c r="O205" s="5"/>
      <c r="P205">
        <v>1759.2</v>
      </c>
      <c r="R205">
        <v>361.76</v>
      </c>
      <c r="S205">
        <v>2000</v>
      </c>
      <c r="T205">
        <f>T204+S205+R205-P205</f>
        <v>1025.2899999999997</v>
      </c>
    </row>
    <row r="206" spans="3:20" hidden="1" x14ac:dyDescent="0.3">
      <c r="D206" s="21">
        <v>228</v>
      </c>
      <c r="E206" s="117"/>
      <c r="F206" t="s">
        <v>97</v>
      </c>
      <c r="G206" s="11">
        <v>73.7</v>
      </c>
      <c r="H206" s="11">
        <v>14.74</v>
      </c>
      <c r="I206" s="11">
        <v>88.44</v>
      </c>
      <c r="J206" s="7">
        <v>201443</v>
      </c>
      <c r="N206" s="5" t="s">
        <v>8</v>
      </c>
      <c r="O206" s="5"/>
      <c r="P206">
        <v>2082.38</v>
      </c>
      <c r="R206">
        <v>372.56</v>
      </c>
      <c r="S206">
        <v>2000</v>
      </c>
      <c r="T206">
        <f>T205-P206+R206+S206</f>
        <v>1315.4699999999996</v>
      </c>
    </row>
    <row r="207" spans="3:20" hidden="1" x14ac:dyDescent="0.3">
      <c r="D207" s="21">
        <v>229</v>
      </c>
      <c r="E207" s="117"/>
      <c r="F207" t="s">
        <v>163</v>
      </c>
      <c r="G207" s="11">
        <v>19.86</v>
      </c>
      <c r="H207" s="11">
        <v>0</v>
      </c>
      <c r="I207" s="11">
        <v>19.86</v>
      </c>
      <c r="J207" s="7">
        <v>201444</v>
      </c>
      <c r="N207" s="5" t="s">
        <v>9</v>
      </c>
      <c r="O207" s="5"/>
      <c r="P207">
        <v>2064.9</v>
      </c>
      <c r="R207">
        <v>354.72</v>
      </c>
      <c r="S207">
        <v>1000</v>
      </c>
      <c r="T207" s="4">
        <f>T206-P207+R207+S207</f>
        <v>605.28999999999951</v>
      </c>
    </row>
    <row r="208" spans="3:20" hidden="1" x14ac:dyDescent="0.3">
      <c r="D208" s="21">
        <v>230</v>
      </c>
      <c r="E208" s="117"/>
      <c r="F208" t="s">
        <v>149</v>
      </c>
      <c r="G208" s="11">
        <v>21.59</v>
      </c>
      <c r="H208" s="11">
        <v>4.3099999999999996</v>
      </c>
      <c r="I208" s="11">
        <v>25.9</v>
      </c>
      <c r="J208" s="7">
        <v>201445</v>
      </c>
      <c r="N208" s="5" t="s">
        <v>10</v>
      </c>
      <c r="O208" s="5"/>
      <c r="P208">
        <v>1476.73</v>
      </c>
      <c r="R208" s="4">
        <v>93.76</v>
      </c>
      <c r="S208">
        <v>2000</v>
      </c>
      <c r="T208">
        <f>T207-P208+R208+S208</f>
        <v>1222.3199999999995</v>
      </c>
    </row>
    <row r="209" spans="2:20" hidden="1" x14ac:dyDescent="0.3">
      <c r="D209" s="21">
        <v>231</v>
      </c>
      <c r="E209" s="117"/>
      <c r="F209" t="s">
        <v>128</v>
      </c>
      <c r="G209" s="11">
        <v>13.44</v>
      </c>
      <c r="H209" s="11">
        <v>0</v>
      </c>
      <c r="I209" s="11">
        <v>13.44</v>
      </c>
      <c r="J209" s="7">
        <v>201446</v>
      </c>
      <c r="N209" s="5" t="s">
        <v>11</v>
      </c>
      <c r="O209" s="5"/>
      <c r="P209">
        <v>1469.54</v>
      </c>
      <c r="R209">
        <v>919.5</v>
      </c>
      <c r="S209">
        <v>1000</v>
      </c>
      <c r="T209">
        <f>T208-P209+R209+1000</f>
        <v>1672.2799999999995</v>
      </c>
    </row>
    <row r="210" spans="2:20" hidden="1" x14ac:dyDescent="0.3">
      <c r="D210" s="21">
        <v>232</v>
      </c>
      <c r="E210" s="117"/>
      <c r="F210" t="s">
        <v>39</v>
      </c>
      <c r="G210" s="11">
        <v>180</v>
      </c>
      <c r="H210" s="11">
        <v>0</v>
      </c>
      <c r="I210" s="11">
        <v>180</v>
      </c>
      <c r="J210" s="7">
        <v>201447</v>
      </c>
      <c r="N210" s="5" t="s">
        <v>15</v>
      </c>
      <c r="O210" s="5"/>
      <c r="P210">
        <v>1331.82</v>
      </c>
      <c r="R210">
        <v>12.48</v>
      </c>
      <c r="S210">
        <v>0</v>
      </c>
      <c r="T210">
        <f>T209-P210+R210+S210</f>
        <v>352.9399999999996</v>
      </c>
    </row>
    <row r="211" spans="2:20" hidden="1" x14ac:dyDescent="0.3">
      <c r="D211" s="21">
        <v>233</v>
      </c>
      <c r="E211" s="117"/>
      <c r="F211" t="s">
        <v>164</v>
      </c>
      <c r="G211" s="11">
        <v>100</v>
      </c>
      <c r="H211" s="11">
        <v>20</v>
      </c>
      <c r="I211" s="11">
        <v>120</v>
      </c>
      <c r="J211" s="7">
        <v>201448</v>
      </c>
      <c r="N211" s="5" t="s">
        <v>16</v>
      </c>
      <c r="O211" s="5"/>
      <c r="P211">
        <v>5179.3500000000004</v>
      </c>
      <c r="R211">
        <v>595.67999999999995</v>
      </c>
      <c r="S211">
        <v>6000</v>
      </c>
      <c r="T211">
        <f>T210-P211+R211+S211</f>
        <v>1769.2699999999995</v>
      </c>
    </row>
    <row r="212" spans="2:20" hidden="1" x14ac:dyDescent="0.3">
      <c r="D212" s="21">
        <v>234</v>
      </c>
      <c r="E212" s="117"/>
      <c r="F212" t="s">
        <v>82</v>
      </c>
      <c r="G212" s="11">
        <v>631.85</v>
      </c>
      <c r="H212" s="11">
        <v>31.59</v>
      </c>
      <c r="I212" s="11">
        <v>663.44</v>
      </c>
      <c r="J212" s="7">
        <v>201449</v>
      </c>
      <c r="N212" s="5" t="s">
        <v>17</v>
      </c>
      <c r="O212" s="5"/>
      <c r="P212" s="11">
        <v>3561.44</v>
      </c>
      <c r="Q212" s="11"/>
      <c r="R212" s="11">
        <v>3122.76</v>
      </c>
      <c r="S212" s="11">
        <v>2000</v>
      </c>
      <c r="T212" s="11">
        <f>T211-P212+R212+S212</f>
        <v>3330.5899999999997</v>
      </c>
    </row>
    <row r="213" spans="2:20" hidden="1" x14ac:dyDescent="0.3">
      <c r="G213" s="12">
        <f>SUM(G203:G212)</f>
        <v>1688.56</v>
      </c>
      <c r="H213" s="12">
        <f>SUM(H203:H212)</f>
        <v>70.64</v>
      </c>
      <c r="I213" s="12">
        <f>SUM(I203:I212)</f>
        <v>1759.2</v>
      </c>
      <c r="N213" s="5" t="s">
        <v>18</v>
      </c>
      <c r="O213" s="5"/>
      <c r="P213">
        <v>2319.6</v>
      </c>
      <c r="R213">
        <v>990.6</v>
      </c>
      <c r="S213">
        <v>1500</v>
      </c>
      <c r="T213" s="11">
        <f>T212-P213+R213+S213</f>
        <v>3501.5899999999997</v>
      </c>
    </row>
    <row r="214" spans="2:20" hidden="1" x14ac:dyDescent="0.3">
      <c r="B214" t="s">
        <v>175</v>
      </c>
      <c r="C214" s="1">
        <v>42892</v>
      </c>
      <c r="D214" s="21">
        <v>235</v>
      </c>
      <c r="E214" s="117"/>
      <c r="F214" t="s">
        <v>167</v>
      </c>
      <c r="G214" s="11">
        <v>185</v>
      </c>
      <c r="H214" s="11">
        <v>37</v>
      </c>
      <c r="I214" s="11">
        <f t="shared" ref="I214:I234" si="10">SUM(G214:H214)</f>
        <v>222</v>
      </c>
      <c r="J214" s="7">
        <v>201450</v>
      </c>
      <c r="N214" s="5" t="s">
        <v>19</v>
      </c>
      <c r="O214" s="5"/>
      <c r="P214">
        <v>1811.58</v>
      </c>
      <c r="R214">
        <v>209.84</v>
      </c>
      <c r="S214">
        <v>0</v>
      </c>
      <c r="T214" s="11">
        <f>T213-P214+R214</f>
        <v>1899.8499999999997</v>
      </c>
    </row>
    <row r="215" spans="2:20" hidden="1" x14ac:dyDescent="0.3">
      <c r="D215" s="21">
        <v>236</v>
      </c>
      <c r="E215" s="117"/>
      <c r="F215" t="s">
        <v>168</v>
      </c>
      <c r="G215" s="11">
        <v>42.3</v>
      </c>
      <c r="H215" s="11">
        <v>8.4600000000000009</v>
      </c>
      <c r="I215" s="11">
        <f t="shared" si="10"/>
        <v>50.76</v>
      </c>
      <c r="J215" s="7">
        <v>201451</v>
      </c>
      <c r="N215" s="5" t="s">
        <v>20</v>
      </c>
      <c r="O215" s="5"/>
      <c r="P215">
        <v>2050.2399999999998</v>
      </c>
      <c r="R215">
        <v>2190.6799999999998</v>
      </c>
      <c r="S215">
        <v>0</v>
      </c>
      <c r="T215" s="11">
        <f>T214-P215+R215+S215</f>
        <v>2040.2899999999997</v>
      </c>
    </row>
    <row r="216" spans="2:20" hidden="1" x14ac:dyDescent="0.3">
      <c r="D216" s="21">
        <v>237</v>
      </c>
      <c r="E216" s="117"/>
      <c r="F216" t="s">
        <v>169</v>
      </c>
      <c r="G216" s="11">
        <v>232</v>
      </c>
      <c r="H216" s="11">
        <v>0</v>
      </c>
      <c r="I216" s="11">
        <f t="shared" si="10"/>
        <v>232</v>
      </c>
      <c r="J216" s="7">
        <v>201452</v>
      </c>
    </row>
    <row r="217" spans="2:20" hidden="1" x14ac:dyDescent="0.3">
      <c r="D217" s="21">
        <v>238</v>
      </c>
      <c r="E217" s="117"/>
      <c r="F217" t="s">
        <v>31</v>
      </c>
      <c r="G217" s="11">
        <v>200</v>
      </c>
      <c r="H217" s="11">
        <v>0</v>
      </c>
      <c r="I217" s="11">
        <f t="shared" si="10"/>
        <v>200</v>
      </c>
      <c r="J217" s="7">
        <v>201453</v>
      </c>
      <c r="P217">
        <f>SUM(P204:P216)</f>
        <v>26034.399999999994</v>
      </c>
      <c r="R217">
        <f>SUM(R204:R216)</f>
        <v>9591.3000000000011</v>
      </c>
      <c r="S217">
        <f>SUM(S204:S216)</f>
        <v>17500</v>
      </c>
    </row>
    <row r="218" spans="2:20" hidden="1" x14ac:dyDescent="0.3">
      <c r="D218" s="21">
        <v>239</v>
      </c>
      <c r="E218" s="117"/>
      <c r="F218" t="s">
        <v>170</v>
      </c>
      <c r="G218" s="11">
        <v>15</v>
      </c>
      <c r="H218" s="11">
        <v>0</v>
      </c>
      <c r="I218" s="11">
        <f t="shared" si="10"/>
        <v>15</v>
      </c>
      <c r="J218" s="7">
        <v>201454</v>
      </c>
    </row>
    <row r="219" spans="2:20" hidden="1" x14ac:dyDescent="0.3">
      <c r="D219" s="21">
        <v>240</v>
      </c>
      <c r="E219" s="117"/>
      <c r="F219" t="s">
        <v>159</v>
      </c>
      <c r="G219" s="11">
        <v>608.04999999999995</v>
      </c>
      <c r="H219" s="11">
        <v>0</v>
      </c>
      <c r="I219" s="11">
        <f t="shared" si="10"/>
        <v>608.04999999999995</v>
      </c>
      <c r="J219" s="7">
        <v>201454</v>
      </c>
    </row>
    <row r="220" spans="2:20" hidden="1" x14ac:dyDescent="0.3">
      <c r="D220" s="21">
        <v>240</v>
      </c>
      <c r="E220" s="117"/>
      <c r="F220" t="s">
        <v>160</v>
      </c>
      <c r="G220" s="11">
        <v>15.07</v>
      </c>
      <c r="H220" s="11">
        <v>0</v>
      </c>
      <c r="I220" s="11">
        <f t="shared" si="10"/>
        <v>15.07</v>
      </c>
      <c r="J220" s="7">
        <v>201455</v>
      </c>
    </row>
    <row r="221" spans="2:20" hidden="1" x14ac:dyDescent="0.3">
      <c r="D221" s="21">
        <v>241</v>
      </c>
      <c r="E221" s="117"/>
      <c r="F221" t="s">
        <v>171</v>
      </c>
      <c r="G221" s="11">
        <v>40</v>
      </c>
      <c r="H221" s="11">
        <v>0</v>
      </c>
      <c r="I221" s="11">
        <f t="shared" si="10"/>
        <v>40</v>
      </c>
      <c r="J221" s="7">
        <v>201456</v>
      </c>
    </row>
    <row r="222" spans="2:20" hidden="1" x14ac:dyDescent="0.3">
      <c r="D222" s="21">
        <v>242</v>
      </c>
      <c r="E222" s="117"/>
      <c r="F222" t="s">
        <v>172</v>
      </c>
      <c r="G222" s="11">
        <v>185</v>
      </c>
      <c r="H222" s="11">
        <v>37</v>
      </c>
      <c r="I222" s="11">
        <f t="shared" si="10"/>
        <v>222</v>
      </c>
      <c r="J222" s="7">
        <v>201457</v>
      </c>
    </row>
    <row r="223" spans="2:20" hidden="1" x14ac:dyDescent="0.3">
      <c r="D223" s="21">
        <v>243</v>
      </c>
      <c r="E223" s="117"/>
      <c r="F223" t="s">
        <v>39</v>
      </c>
      <c r="G223" s="11">
        <v>477.5</v>
      </c>
      <c r="H223" s="11">
        <v>0</v>
      </c>
      <c r="I223" s="11">
        <f t="shared" si="10"/>
        <v>477.5</v>
      </c>
      <c r="J223" s="7">
        <v>201458</v>
      </c>
    </row>
    <row r="224" spans="2:20" hidden="1" x14ac:dyDescent="0.3">
      <c r="D224" s="21"/>
      <c r="E224" s="117"/>
      <c r="G224" s="12">
        <f>SUM(G214:G223)</f>
        <v>1999.9199999999998</v>
      </c>
      <c r="H224" s="12">
        <f>SUM(H214:H223)</f>
        <v>82.460000000000008</v>
      </c>
      <c r="I224" s="12">
        <f t="shared" si="10"/>
        <v>2082.3799999999997</v>
      </c>
    </row>
    <row r="225" spans="2:10" hidden="1" x14ac:dyDescent="0.3">
      <c r="B225" t="s">
        <v>174</v>
      </c>
      <c r="C225" s="1">
        <v>42919</v>
      </c>
      <c r="D225" s="21">
        <v>244</v>
      </c>
      <c r="E225" s="117"/>
      <c r="F225" t="s">
        <v>173</v>
      </c>
      <c r="G225" s="11">
        <v>16.989999999999998</v>
      </c>
      <c r="H225" s="11">
        <v>0</v>
      </c>
      <c r="I225" s="11">
        <f t="shared" si="10"/>
        <v>16.989999999999998</v>
      </c>
      <c r="J225" s="7">
        <v>201459</v>
      </c>
    </row>
    <row r="226" spans="2:10" hidden="1" x14ac:dyDescent="0.3">
      <c r="C226" s="1">
        <v>42919</v>
      </c>
      <c r="D226" s="21">
        <v>245</v>
      </c>
      <c r="E226" s="117"/>
      <c r="F226" t="s">
        <v>128</v>
      </c>
      <c r="G226" s="11">
        <v>18.440000000000001</v>
      </c>
      <c r="H226" s="11">
        <v>0</v>
      </c>
      <c r="I226" s="11">
        <f t="shared" si="10"/>
        <v>18.440000000000001</v>
      </c>
      <c r="J226" s="7">
        <v>201460</v>
      </c>
    </row>
    <row r="227" spans="2:10" hidden="1" x14ac:dyDescent="0.3">
      <c r="C227" s="1">
        <v>42919</v>
      </c>
      <c r="D227" s="21">
        <v>246</v>
      </c>
      <c r="E227" s="117"/>
      <c r="F227" t="s">
        <v>97</v>
      </c>
      <c r="G227" s="11">
        <v>70</v>
      </c>
      <c r="H227" s="11">
        <v>14</v>
      </c>
      <c r="I227" s="11">
        <f t="shared" si="10"/>
        <v>84</v>
      </c>
      <c r="J227" s="7">
        <v>201461</v>
      </c>
    </row>
    <row r="228" spans="2:10" hidden="1" x14ac:dyDescent="0.3">
      <c r="C228" s="1">
        <v>42919</v>
      </c>
      <c r="D228" s="21">
        <v>247</v>
      </c>
      <c r="E228" s="117"/>
      <c r="F228" t="s">
        <v>98</v>
      </c>
      <c r="G228" s="11">
        <v>74.349999999999994</v>
      </c>
      <c r="H228" s="11">
        <v>0</v>
      </c>
      <c r="I228" s="11">
        <f t="shared" si="10"/>
        <v>74.349999999999994</v>
      </c>
      <c r="J228" s="7">
        <v>201462</v>
      </c>
    </row>
    <row r="229" spans="2:10" hidden="1" x14ac:dyDescent="0.3">
      <c r="C229" s="1">
        <v>42919</v>
      </c>
      <c r="D229" s="21">
        <v>248</v>
      </c>
      <c r="E229" s="117"/>
      <c r="F229" t="s">
        <v>153</v>
      </c>
      <c r="G229" s="11">
        <v>108</v>
      </c>
      <c r="H229" s="11">
        <v>0</v>
      </c>
      <c r="I229" s="11">
        <f t="shared" si="10"/>
        <v>108</v>
      </c>
      <c r="J229" s="7">
        <v>201463</v>
      </c>
    </row>
    <row r="230" spans="2:10" hidden="1" x14ac:dyDescent="0.3">
      <c r="C230" s="1">
        <v>42919</v>
      </c>
      <c r="D230" s="21">
        <v>249</v>
      </c>
      <c r="E230" s="117"/>
      <c r="F230" t="s">
        <v>159</v>
      </c>
      <c r="G230" s="11">
        <v>608.04999999999995</v>
      </c>
      <c r="H230" s="11">
        <v>0</v>
      </c>
      <c r="I230" s="11">
        <f t="shared" si="10"/>
        <v>608.04999999999995</v>
      </c>
      <c r="J230" s="7">
        <v>201464</v>
      </c>
    </row>
    <row r="231" spans="2:10" hidden="1" x14ac:dyDescent="0.3">
      <c r="C231" s="1">
        <v>42919</v>
      </c>
      <c r="D231" s="21">
        <v>249</v>
      </c>
      <c r="E231" s="117"/>
      <c r="F231" t="s">
        <v>160</v>
      </c>
      <c r="G231" s="11">
        <v>15.07</v>
      </c>
      <c r="H231" s="11">
        <v>0</v>
      </c>
      <c r="I231" s="11">
        <f t="shared" si="10"/>
        <v>15.07</v>
      </c>
      <c r="J231" s="7">
        <v>201464</v>
      </c>
    </row>
    <row r="232" spans="2:10" hidden="1" x14ac:dyDescent="0.3">
      <c r="C232" s="1">
        <v>42919</v>
      </c>
      <c r="D232" s="21">
        <v>250</v>
      </c>
      <c r="E232" s="117"/>
      <c r="F232" t="s">
        <v>39</v>
      </c>
      <c r="G232" s="11">
        <v>180</v>
      </c>
      <c r="H232" s="11">
        <v>0</v>
      </c>
      <c r="I232" s="11">
        <f t="shared" si="10"/>
        <v>180</v>
      </c>
      <c r="J232" s="7">
        <v>201465</v>
      </c>
    </row>
    <row r="233" spans="2:10" hidden="1" x14ac:dyDescent="0.3">
      <c r="C233" s="1">
        <v>42919</v>
      </c>
      <c r="D233" s="21">
        <v>251</v>
      </c>
      <c r="E233" s="117"/>
      <c r="F233" t="s">
        <v>177</v>
      </c>
      <c r="G233" s="11">
        <v>800</v>
      </c>
      <c r="H233" s="11">
        <v>160</v>
      </c>
      <c r="I233" s="11">
        <f t="shared" si="10"/>
        <v>960</v>
      </c>
      <c r="J233" s="7">
        <v>201466</v>
      </c>
    </row>
    <row r="234" spans="2:10" hidden="1" x14ac:dyDescent="0.3">
      <c r="D234" s="21"/>
      <c r="E234" s="117"/>
      <c r="G234" s="12">
        <f>SUM(G225:G233)</f>
        <v>1890.9</v>
      </c>
      <c r="H234" s="12">
        <f>SUM(H225:H233)</f>
        <v>174</v>
      </c>
      <c r="I234" s="12">
        <f t="shared" si="10"/>
        <v>2064.9</v>
      </c>
    </row>
    <row r="235" spans="2:10" hidden="1" x14ac:dyDescent="0.3">
      <c r="B235" t="s">
        <v>176</v>
      </c>
      <c r="C235" s="1">
        <v>42948</v>
      </c>
      <c r="D235" s="21">
        <v>252</v>
      </c>
      <c r="E235" s="117"/>
      <c r="F235" t="s">
        <v>178</v>
      </c>
      <c r="G235" s="11">
        <v>279</v>
      </c>
      <c r="H235" s="11">
        <v>55.8</v>
      </c>
      <c r="I235" s="11">
        <v>334.8</v>
      </c>
      <c r="J235" s="7">
        <v>201467</v>
      </c>
    </row>
    <row r="236" spans="2:10" hidden="1" x14ac:dyDescent="0.3">
      <c r="C236" s="1">
        <v>42948</v>
      </c>
      <c r="D236" s="21">
        <v>253</v>
      </c>
      <c r="E236" s="117"/>
      <c r="F236" t="s">
        <v>97</v>
      </c>
      <c r="G236" s="11">
        <v>72.7</v>
      </c>
      <c r="H236" s="11">
        <v>14.54</v>
      </c>
      <c r="I236" s="11">
        <f t="shared" ref="I236:I241" si="11">SUM(G236:H236)</f>
        <v>87.240000000000009</v>
      </c>
      <c r="J236" s="7">
        <v>201468</v>
      </c>
    </row>
    <row r="237" spans="2:10" hidden="1" x14ac:dyDescent="0.3">
      <c r="C237" s="1">
        <v>42948</v>
      </c>
      <c r="D237" s="21">
        <v>254</v>
      </c>
      <c r="E237" s="117"/>
      <c r="F237" t="s">
        <v>39</v>
      </c>
      <c r="G237" s="11">
        <v>180</v>
      </c>
      <c r="H237" s="11">
        <v>0</v>
      </c>
      <c r="I237" s="11">
        <f t="shared" si="11"/>
        <v>180</v>
      </c>
      <c r="J237" s="7">
        <v>201469</v>
      </c>
    </row>
    <row r="238" spans="2:10" hidden="1" x14ac:dyDescent="0.3">
      <c r="C238" s="1">
        <v>42948</v>
      </c>
      <c r="D238" s="21">
        <v>255</v>
      </c>
      <c r="E238" s="117"/>
      <c r="F238" t="s">
        <v>159</v>
      </c>
      <c r="G238" s="11">
        <v>608.04999999999995</v>
      </c>
      <c r="H238" s="11">
        <v>0</v>
      </c>
      <c r="I238" s="11">
        <f t="shared" si="11"/>
        <v>608.04999999999995</v>
      </c>
      <c r="J238" s="7">
        <v>201470</v>
      </c>
    </row>
    <row r="239" spans="2:10" hidden="1" x14ac:dyDescent="0.3">
      <c r="C239" s="1">
        <v>42948</v>
      </c>
      <c r="D239" s="21">
        <v>255</v>
      </c>
      <c r="E239" s="117"/>
      <c r="F239" t="s">
        <v>160</v>
      </c>
      <c r="G239" s="11">
        <v>15.07</v>
      </c>
      <c r="H239" s="11">
        <v>0</v>
      </c>
      <c r="I239" s="11">
        <f t="shared" si="11"/>
        <v>15.07</v>
      </c>
      <c r="J239" s="7">
        <v>201470</v>
      </c>
    </row>
    <row r="240" spans="2:10" hidden="1" x14ac:dyDescent="0.3">
      <c r="C240" s="1">
        <v>42948</v>
      </c>
      <c r="D240" s="21">
        <v>256</v>
      </c>
      <c r="E240" s="117"/>
      <c r="F240" t="s">
        <v>82</v>
      </c>
      <c r="G240" s="11">
        <v>238.64</v>
      </c>
      <c r="H240" s="11">
        <v>11.93</v>
      </c>
      <c r="I240" s="11">
        <f t="shared" si="11"/>
        <v>250.57</v>
      </c>
      <c r="J240" s="7">
        <v>201471</v>
      </c>
    </row>
    <row r="241" spans="2:13" hidden="1" x14ac:dyDescent="0.3">
      <c r="C241" s="1">
        <v>42962</v>
      </c>
      <c r="D241" s="21">
        <v>257</v>
      </c>
      <c r="E241" s="117"/>
      <c r="F241" t="s">
        <v>181</v>
      </c>
      <c r="G241" s="11">
        <v>1</v>
      </c>
      <c r="H241" s="11">
        <v>0</v>
      </c>
      <c r="I241" s="11">
        <f t="shared" si="11"/>
        <v>1</v>
      </c>
      <c r="J241" s="7">
        <v>201472</v>
      </c>
    </row>
    <row r="242" spans="2:13" hidden="1" x14ac:dyDescent="0.3">
      <c r="D242" s="21"/>
      <c r="E242" s="117"/>
      <c r="G242" s="12">
        <f>SUM(G235:G241)</f>
        <v>1394.46</v>
      </c>
      <c r="H242" s="12">
        <f>SUM(H235:H241)</f>
        <v>82.27000000000001</v>
      </c>
      <c r="I242" s="12">
        <f>SUM(I235:I241)</f>
        <v>1476.7299999999998</v>
      </c>
    </row>
    <row r="243" spans="2:13" hidden="1" x14ac:dyDescent="0.3">
      <c r="B243" s="6">
        <v>42979</v>
      </c>
      <c r="C243" s="1">
        <v>42982</v>
      </c>
      <c r="D243" s="21">
        <v>258</v>
      </c>
      <c r="E243" s="117"/>
      <c r="F243" t="s">
        <v>31</v>
      </c>
      <c r="G243" s="11">
        <v>175</v>
      </c>
      <c r="H243" s="11">
        <v>0</v>
      </c>
      <c r="I243" s="11">
        <v>175</v>
      </c>
      <c r="J243" s="7">
        <v>201473</v>
      </c>
    </row>
    <row r="244" spans="2:13" hidden="1" x14ac:dyDescent="0.3">
      <c r="C244" s="1">
        <v>42982</v>
      </c>
      <c r="D244" s="21">
        <v>259</v>
      </c>
      <c r="E244" s="117"/>
      <c r="F244" t="s">
        <v>159</v>
      </c>
      <c r="G244" s="11">
        <v>608.04999999999995</v>
      </c>
      <c r="H244" s="11">
        <v>0</v>
      </c>
      <c r="I244" s="11">
        <f>SUM(G244:H244)</f>
        <v>608.04999999999995</v>
      </c>
      <c r="J244" s="7">
        <v>201474</v>
      </c>
    </row>
    <row r="245" spans="2:13" hidden="1" x14ac:dyDescent="0.3">
      <c r="C245" s="1">
        <v>42982</v>
      </c>
      <c r="D245" s="21">
        <v>259</v>
      </c>
      <c r="E245" s="117"/>
      <c r="F245" t="s">
        <v>160</v>
      </c>
      <c r="G245" s="11">
        <v>15.07</v>
      </c>
      <c r="H245" s="11">
        <v>0</v>
      </c>
      <c r="I245" s="11">
        <f>SUM(G245:H245)</f>
        <v>15.07</v>
      </c>
      <c r="J245" s="7">
        <v>201474</v>
      </c>
    </row>
    <row r="246" spans="2:13" hidden="1" x14ac:dyDescent="0.3">
      <c r="C246" s="1">
        <v>42982</v>
      </c>
      <c r="D246" s="21">
        <v>260</v>
      </c>
      <c r="E246" s="117"/>
      <c r="F246" t="s">
        <v>39</v>
      </c>
      <c r="G246" s="11">
        <v>180</v>
      </c>
      <c r="H246" s="11">
        <v>0</v>
      </c>
      <c r="I246" s="11">
        <v>180</v>
      </c>
      <c r="J246" s="7">
        <v>201475</v>
      </c>
    </row>
    <row r="247" spans="2:13" hidden="1" x14ac:dyDescent="0.3">
      <c r="C247" s="1">
        <v>42982</v>
      </c>
      <c r="D247" s="21">
        <v>261</v>
      </c>
      <c r="E247" s="117"/>
      <c r="F247" t="s">
        <v>182</v>
      </c>
      <c r="G247" s="11">
        <v>185</v>
      </c>
      <c r="H247" s="11">
        <v>37</v>
      </c>
      <c r="I247" s="11">
        <v>222</v>
      </c>
      <c r="J247" s="7">
        <v>201476</v>
      </c>
    </row>
    <row r="248" spans="2:13" hidden="1" x14ac:dyDescent="0.3">
      <c r="C248" s="1">
        <v>42982</v>
      </c>
      <c r="D248" s="21">
        <v>262</v>
      </c>
      <c r="E248" s="117"/>
      <c r="F248" t="s">
        <v>183</v>
      </c>
      <c r="G248" s="11">
        <v>185</v>
      </c>
      <c r="H248" s="11">
        <v>37</v>
      </c>
      <c r="I248" s="11">
        <v>222</v>
      </c>
      <c r="J248" s="7">
        <v>201477</v>
      </c>
    </row>
    <row r="249" spans="2:13" hidden="1" x14ac:dyDescent="0.3">
      <c r="C249" s="1">
        <v>42982</v>
      </c>
      <c r="D249" s="21">
        <v>263</v>
      </c>
      <c r="E249" s="117"/>
      <c r="F249" t="s">
        <v>173</v>
      </c>
      <c r="G249" s="11">
        <v>33.979999999999997</v>
      </c>
      <c r="H249" s="11">
        <v>0</v>
      </c>
      <c r="I249" s="11">
        <v>33.979999999999997</v>
      </c>
      <c r="J249" s="7">
        <v>201478</v>
      </c>
    </row>
    <row r="250" spans="2:13" hidden="1" x14ac:dyDescent="0.3">
      <c r="C250" s="1">
        <v>42982</v>
      </c>
      <c r="D250" s="21">
        <v>264</v>
      </c>
      <c r="E250" s="117"/>
      <c r="F250" t="s">
        <v>128</v>
      </c>
      <c r="G250" s="11">
        <v>13.44</v>
      </c>
      <c r="H250" s="11">
        <v>0</v>
      </c>
      <c r="I250" s="11">
        <v>13.44</v>
      </c>
      <c r="J250" s="7">
        <v>201479</v>
      </c>
    </row>
    <row r="251" spans="2:13" hidden="1" x14ac:dyDescent="0.3">
      <c r="B251" s="6"/>
      <c r="D251" s="21"/>
      <c r="E251" s="117"/>
      <c r="G251" s="12">
        <f>SUM(G243:G250)</f>
        <v>1395.54</v>
      </c>
      <c r="H251" s="12">
        <f>SUM(H243:H250)</f>
        <v>74</v>
      </c>
      <c r="I251" s="12">
        <f>SUM(I243:I250)</f>
        <v>1469.54</v>
      </c>
    </row>
    <row r="252" spans="2:13" hidden="1" x14ac:dyDescent="0.3">
      <c r="B252" s="6">
        <v>43009</v>
      </c>
      <c r="C252" s="1">
        <v>43011</v>
      </c>
      <c r="D252" s="21">
        <v>265</v>
      </c>
      <c r="E252" s="117"/>
      <c r="F252" t="s">
        <v>184</v>
      </c>
      <c r="G252" s="11">
        <v>249.3</v>
      </c>
      <c r="H252" s="11">
        <v>0</v>
      </c>
      <c r="I252" s="11">
        <v>249.3</v>
      </c>
      <c r="J252" s="7">
        <v>201480</v>
      </c>
      <c r="L252" s="1">
        <v>43044</v>
      </c>
      <c r="M252" s="1"/>
    </row>
    <row r="253" spans="2:13" hidden="1" x14ac:dyDescent="0.3">
      <c r="C253" s="1">
        <v>43011</v>
      </c>
      <c r="D253" s="21">
        <v>266</v>
      </c>
      <c r="E253" s="117"/>
      <c r="F253" t="s">
        <v>97</v>
      </c>
      <c r="G253" s="11">
        <v>70</v>
      </c>
      <c r="H253" s="11">
        <v>14</v>
      </c>
      <c r="I253" s="11">
        <v>84</v>
      </c>
      <c r="J253" s="7">
        <v>201481</v>
      </c>
      <c r="L253" s="1">
        <v>43044</v>
      </c>
      <c r="M253" s="1"/>
    </row>
    <row r="254" spans="2:13" hidden="1" x14ac:dyDescent="0.3">
      <c r="C254" s="1">
        <v>43011</v>
      </c>
      <c r="D254" s="21">
        <v>267</v>
      </c>
      <c r="E254" s="117"/>
      <c r="F254" t="s">
        <v>185</v>
      </c>
      <c r="G254" s="11">
        <v>117.6</v>
      </c>
      <c r="H254" s="11">
        <v>0</v>
      </c>
      <c r="I254" s="11">
        <v>117.6</v>
      </c>
      <c r="J254" s="7">
        <v>201482</v>
      </c>
      <c r="L254" s="1">
        <v>43044</v>
      </c>
      <c r="M254" s="1"/>
    </row>
    <row r="255" spans="2:13" hidden="1" x14ac:dyDescent="0.3">
      <c r="C255" s="1">
        <v>43011</v>
      </c>
      <c r="D255" s="21">
        <v>268</v>
      </c>
      <c r="E255" s="117"/>
      <c r="F255" t="s">
        <v>39</v>
      </c>
      <c r="G255" s="11">
        <v>180</v>
      </c>
      <c r="H255" s="11">
        <v>0</v>
      </c>
      <c r="I255" s="11">
        <v>180</v>
      </c>
      <c r="J255" s="7">
        <v>201483</v>
      </c>
      <c r="L255" s="1">
        <v>43044</v>
      </c>
      <c r="M255" s="1"/>
    </row>
    <row r="256" spans="2:13" hidden="1" x14ac:dyDescent="0.3">
      <c r="C256" s="1">
        <v>43011</v>
      </c>
      <c r="D256" s="21">
        <v>269</v>
      </c>
      <c r="E256" s="117"/>
      <c r="F256" t="s">
        <v>159</v>
      </c>
      <c r="G256" s="11">
        <v>608.04999999999995</v>
      </c>
      <c r="H256" s="11">
        <v>0</v>
      </c>
      <c r="I256" s="11">
        <f>SUM(G256:H256)</f>
        <v>608.04999999999995</v>
      </c>
      <c r="J256" s="7">
        <v>201484</v>
      </c>
      <c r="L256" s="1">
        <v>43044</v>
      </c>
      <c r="M256" s="1"/>
    </row>
    <row r="257" spans="2:13" hidden="1" x14ac:dyDescent="0.3">
      <c r="C257" s="1">
        <v>43011</v>
      </c>
      <c r="D257" s="21">
        <v>269</v>
      </c>
      <c r="E257" s="117"/>
      <c r="F257" t="s">
        <v>160</v>
      </c>
      <c r="G257" s="11">
        <v>15.07</v>
      </c>
      <c r="H257" s="11">
        <v>0</v>
      </c>
      <c r="I257" s="11">
        <f>SUM(G257:H257)</f>
        <v>15.07</v>
      </c>
      <c r="J257" s="7">
        <v>201484</v>
      </c>
      <c r="L257" s="1">
        <v>43044</v>
      </c>
      <c r="M257" s="1"/>
    </row>
    <row r="258" spans="2:13" hidden="1" x14ac:dyDescent="0.3">
      <c r="C258" s="1">
        <v>43011</v>
      </c>
      <c r="D258" s="21">
        <v>269</v>
      </c>
      <c r="E258" s="117"/>
      <c r="F258" t="s">
        <v>186</v>
      </c>
      <c r="G258" s="11">
        <v>37.799999999999997</v>
      </c>
      <c r="H258" s="11">
        <v>0</v>
      </c>
      <c r="I258" s="11">
        <f>SUM(G258:H258)</f>
        <v>37.799999999999997</v>
      </c>
      <c r="J258" s="7">
        <v>201484</v>
      </c>
      <c r="L258" s="1">
        <v>43044</v>
      </c>
      <c r="M258" s="1"/>
    </row>
    <row r="259" spans="2:13" hidden="1" x14ac:dyDescent="0.3">
      <c r="C259" s="1">
        <v>43011</v>
      </c>
      <c r="D259" s="21">
        <v>270</v>
      </c>
      <c r="E259" s="117"/>
      <c r="F259" t="s">
        <v>187</v>
      </c>
      <c r="G259" s="11">
        <v>40</v>
      </c>
      <c r="H259" s="11">
        <v>0</v>
      </c>
      <c r="I259" s="11">
        <v>40</v>
      </c>
      <c r="J259" s="7">
        <v>201485</v>
      </c>
      <c r="L259" s="1">
        <v>43044</v>
      </c>
      <c r="M259" s="1"/>
    </row>
    <row r="260" spans="2:13" hidden="1" x14ac:dyDescent="0.3">
      <c r="D260" s="21"/>
      <c r="E260" s="117"/>
      <c r="G260" s="12">
        <f>SUM(G252:G259)</f>
        <v>1317.8199999999997</v>
      </c>
      <c r="H260" s="12">
        <f>SUM(H252:H259)</f>
        <v>14</v>
      </c>
      <c r="I260" s="12">
        <f>SUM(I252:I259)</f>
        <v>1331.8199999999997</v>
      </c>
    </row>
    <row r="261" spans="2:13" hidden="1" x14ac:dyDescent="0.3">
      <c r="B261" s="6">
        <v>43040</v>
      </c>
      <c r="C261" s="1">
        <v>43041</v>
      </c>
      <c r="D261" s="21">
        <v>271</v>
      </c>
      <c r="E261" s="117"/>
      <c r="F261" t="s">
        <v>188</v>
      </c>
      <c r="G261" s="11">
        <v>437.5</v>
      </c>
      <c r="H261" s="11">
        <v>0</v>
      </c>
      <c r="I261" s="11">
        <f t="shared" ref="I261:I280" si="12">SUM(G261:H261)</f>
        <v>437.5</v>
      </c>
      <c r="J261" s="7">
        <v>201486</v>
      </c>
      <c r="L261" s="1"/>
      <c r="M261" s="1"/>
    </row>
    <row r="262" spans="2:13" hidden="1" x14ac:dyDescent="0.3">
      <c r="C262" s="1">
        <v>43041</v>
      </c>
      <c r="D262" s="21">
        <v>272</v>
      </c>
      <c r="E262" s="117"/>
      <c r="F262" t="s">
        <v>154</v>
      </c>
      <c r="G262" s="11">
        <v>185</v>
      </c>
      <c r="H262" s="11">
        <v>37</v>
      </c>
      <c r="I262" s="11">
        <f t="shared" si="12"/>
        <v>222</v>
      </c>
      <c r="J262" s="7">
        <v>201487</v>
      </c>
    </row>
    <row r="263" spans="2:13" hidden="1" x14ac:dyDescent="0.3">
      <c r="C263" s="1">
        <v>43041</v>
      </c>
      <c r="D263" s="21">
        <v>273</v>
      </c>
      <c r="E263" s="117"/>
      <c r="F263" t="s">
        <v>39</v>
      </c>
      <c r="G263" s="11">
        <v>180</v>
      </c>
      <c r="H263" s="11">
        <v>0</v>
      </c>
      <c r="I263" s="11">
        <f t="shared" si="12"/>
        <v>180</v>
      </c>
      <c r="J263" s="7">
        <v>201488</v>
      </c>
    </row>
    <row r="264" spans="2:13" hidden="1" x14ac:dyDescent="0.3">
      <c r="C264" s="1">
        <v>43041</v>
      </c>
      <c r="D264" s="21">
        <v>274</v>
      </c>
      <c r="E264" s="117"/>
      <c r="F264" t="s">
        <v>97</v>
      </c>
      <c r="G264" s="11">
        <v>72.7</v>
      </c>
      <c r="H264" s="11">
        <v>14.54</v>
      </c>
      <c r="I264" s="11">
        <f t="shared" si="12"/>
        <v>87.240000000000009</v>
      </c>
      <c r="J264" s="7">
        <v>201489</v>
      </c>
    </row>
    <row r="265" spans="2:13" hidden="1" x14ac:dyDescent="0.3">
      <c r="C265" s="1">
        <v>43041</v>
      </c>
      <c r="D265" s="21">
        <v>275</v>
      </c>
      <c r="E265" s="117"/>
      <c r="F265" t="s">
        <v>124</v>
      </c>
      <c r="G265" s="11">
        <v>50</v>
      </c>
      <c r="H265" s="11">
        <v>0</v>
      </c>
      <c r="I265" s="11">
        <f t="shared" si="12"/>
        <v>50</v>
      </c>
      <c r="J265" s="7">
        <v>201490</v>
      </c>
    </row>
    <row r="266" spans="2:13" hidden="1" x14ac:dyDescent="0.3">
      <c r="C266" s="1">
        <v>43041</v>
      </c>
      <c r="D266" s="21">
        <v>276</v>
      </c>
      <c r="E266" s="117"/>
      <c r="F266" t="s">
        <v>159</v>
      </c>
      <c r="G266" s="11">
        <v>608.04999999999995</v>
      </c>
      <c r="H266" s="11">
        <v>0</v>
      </c>
      <c r="I266" s="11">
        <f t="shared" si="12"/>
        <v>608.04999999999995</v>
      </c>
      <c r="J266" s="7">
        <v>201491</v>
      </c>
    </row>
    <row r="267" spans="2:13" hidden="1" x14ac:dyDescent="0.3">
      <c r="C267" s="1">
        <v>43041</v>
      </c>
      <c r="D267" s="21">
        <v>276</v>
      </c>
      <c r="E267" s="117"/>
      <c r="F267" t="s">
        <v>160</v>
      </c>
      <c r="G267" s="11">
        <v>15.07</v>
      </c>
      <c r="H267" s="11">
        <v>0</v>
      </c>
      <c r="I267" s="11">
        <f t="shared" si="12"/>
        <v>15.07</v>
      </c>
      <c r="J267" s="7">
        <v>201491</v>
      </c>
    </row>
    <row r="268" spans="2:13" hidden="1" x14ac:dyDescent="0.3">
      <c r="C268" s="1">
        <v>43041</v>
      </c>
      <c r="D268" s="21">
        <v>277</v>
      </c>
      <c r="E268" s="117"/>
      <c r="F268" t="s">
        <v>39</v>
      </c>
      <c r="G268" s="11">
        <v>649.5</v>
      </c>
      <c r="H268" s="11">
        <v>0</v>
      </c>
      <c r="I268" s="11">
        <f t="shared" si="12"/>
        <v>649.5</v>
      </c>
      <c r="J268" s="7">
        <v>201492</v>
      </c>
    </row>
    <row r="269" spans="2:13" hidden="1" x14ac:dyDescent="0.3">
      <c r="C269" s="1">
        <v>43041</v>
      </c>
      <c r="D269" s="21">
        <v>278</v>
      </c>
      <c r="E269" s="117"/>
      <c r="F269" t="s">
        <v>130</v>
      </c>
      <c r="G269" s="11">
        <v>35</v>
      </c>
      <c r="H269" s="11">
        <v>0</v>
      </c>
      <c r="I269" s="11">
        <f t="shared" si="12"/>
        <v>35</v>
      </c>
      <c r="J269" s="7" t="s">
        <v>26</v>
      </c>
    </row>
    <row r="270" spans="2:13" hidden="1" x14ac:dyDescent="0.3">
      <c r="C270" s="1">
        <v>43041</v>
      </c>
      <c r="D270" s="21">
        <v>279</v>
      </c>
      <c r="E270" s="117"/>
      <c r="F270" t="s">
        <v>82</v>
      </c>
      <c r="G270" s="11">
        <v>148.61000000000001</v>
      </c>
      <c r="H270" s="11">
        <v>7.43</v>
      </c>
      <c r="I270" s="11">
        <f t="shared" si="12"/>
        <v>156.04000000000002</v>
      </c>
      <c r="J270" s="7">
        <v>201493</v>
      </c>
    </row>
    <row r="271" spans="2:13" hidden="1" x14ac:dyDescent="0.3">
      <c r="C271" s="1">
        <v>43046</v>
      </c>
      <c r="D271" s="21">
        <v>280</v>
      </c>
      <c r="E271" s="117"/>
      <c r="F271" t="s">
        <v>189</v>
      </c>
      <c r="G271" s="11">
        <v>30</v>
      </c>
      <c r="H271" s="11">
        <v>6</v>
      </c>
      <c r="I271" s="11">
        <f t="shared" si="12"/>
        <v>36</v>
      </c>
      <c r="J271" s="7">
        <v>201494</v>
      </c>
    </row>
    <row r="272" spans="2:13" hidden="1" x14ac:dyDescent="0.3">
      <c r="C272" s="1">
        <v>43046</v>
      </c>
      <c r="D272" s="21">
        <v>281</v>
      </c>
      <c r="E272" s="117"/>
      <c r="F272" t="s">
        <v>190</v>
      </c>
      <c r="G272" s="11">
        <v>20.48</v>
      </c>
      <c r="H272" s="11">
        <v>2.09</v>
      </c>
      <c r="I272" s="11">
        <f t="shared" si="12"/>
        <v>22.57</v>
      </c>
      <c r="J272" s="7">
        <v>201495</v>
      </c>
    </row>
    <row r="273" spans="2:12" hidden="1" x14ac:dyDescent="0.3">
      <c r="C273" s="1">
        <v>43046</v>
      </c>
      <c r="D273" s="21">
        <v>282</v>
      </c>
      <c r="E273" s="117"/>
      <c r="F273" t="s">
        <v>115</v>
      </c>
      <c r="G273" s="11">
        <v>185</v>
      </c>
      <c r="H273" s="11">
        <v>37</v>
      </c>
      <c r="I273" s="11">
        <f t="shared" si="12"/>
        <v>222</v>
      </c>
      <c r="J273" s="7">
        <v>201496</v>
      </c>
    </row>
    <row r="274" spans="2:12" hidden="1" x14ac:dyDescent="0.3">
      <c r="C274" s="1">
        <v>43046</v>
      </c>
      <c r="D274" s="21">
        <v>283</v>
      </c>
      <c r="E274" s="117"/>
      <c r="F274" t="s">
        <v>191</v>
      </c>
      <c r="G274" s="11">
        <v>510</v>
      </c>
      <c r="H274" s="11">
        <v>102</v>
      </c>
      <c r="I274" s="11">
        <f t="shared" si="12"/>
        <v>612</v>
      </c>
      <c r="J274" s="7">
        <v>201497</v>
      </c>
    </row>
    <row r="275" spans="2:12" hidden="1" x14ac:dyDescent="0.3">
      <c r="C275" s="1">
        <v>43046</v>
      </c>
      <c r="D275" s="21">
        <v>284</v>
      </c>
      <c r="E275" s="117"/>
      <c r="F275" t="s">
        <v>31</v>
      </c>
      <c r="G275" s="11">
        <v>90</v>
      </c>
      <c r="H275" s="11">
        <v>0</v>
      </c>
      <c r="I275" s="11">
        <f t="shared" si="12"/>
        <v>90</v>
      </c>
      <c r="J275" s="7">
        <v>201498</v>
      </c>
    </row>
    <row r="276" spans="2:12" hidden="1" x14ac:dyDescent="0.3">
      <c r="C276" s="1">
        <v>43046</v>
      </c>
      <c r="D276" s="21">
        <v>285</v>
      </c>
      <c r="E276" s="117"/>
      <c r="F276" t="s">
        <v>192</v>
      </c>
      <c r="G276" s="11">
        <v>205.25</v>
      </c>
      <c r="H276" s="11">
        <v>41.05</v>
      </c>
      <c r="I276" s="11">
        <f t="shared" si="12"/>
        <v>246.3</v>
      </c>
      <c r="J276" s="7">
        <v>201499</v>
      </c>
    </row>
    <row r="277" spans="2:12" hidden="1" x14ac:dyDescent="0.3">
      <c r="C277" s="1">
        <v>43046</v>
      </c>
      <c r="D277" s="21">
        <v>286</v>
      </c>
      <c r="E277" s="117"/>
      <c r="F277" t="s">
        <v>193</v>
      </c>
      <c r="G277" s="11">
        <v>101.48</v>
      </c>
      <c r="H277" s="11">
        <v>25.36</v>
      </c>
      <c r="I277" s="11">
        <f t="shared" si="12"/>
        <v>126.84</v>
      </c>
      <c r="J277" s="7">
        <v>201500</v>
      </c>
    </row>
    <row r="278" spans="2:12" hidden="1" x14ac:dyDescent="0.3">
      <c r="C278" s="1">
        <v>43052</v>
      </c>
      <c r="D278" s="21">
        <v>287</v>
      </c>
      <c r="E278" s="117"/>
      <c r="F278" t="s">
        <v>137</v>
      </c>
      <c r="G278" s="11">
        <v>42.1</v>
      </c>
      <c r="H278" s="11">
        <v>0</v>
      </c>
      <c r="I278" s="11">
        <f t="shared" si="12"/>
        <v>42.1</v>
      </c>
      <c r="J278" s="7">
        <v>201601</v>
      </c>
    </row>
    <row r="279" spans="2:12" hidden="1" x14ac:dyDescent="0.3">
      <c r="C279" s="1">
        <v>43052</v>
      </c>
      <c r="D279" s="21">
        <v>288</v>
      </c>
      <c r="E279" s="117"/>
      <c r="F279" t="s">
        <v>194</v>
      </c>
      <c r="G279" s="11">
        <v>50</v>
      </c>
      <c r="H279" s="11">
        <v>0</v>
      </c>
      <c r="I279" s="11">
        <f t="shared" si="12"/>
        <v>50</v>
      </c>
      <c r="J279" s="7">
        <v>201602</v>
      </c>
    </row>
    <row r="280" spans="2:12" hidden="1" x14ac:dyDescent="0.3">
      <c r="C280" s="1">
        <v>43052</v>
      </c>
      <c r="D280" s="21">
        <v>289</v>
      </c>
      <c r="E280" s="117"/>
      <c r="F280" t="s">
        <v>195</v>
      </c>
      <c r="G280" s="11">
        <v>200.4</v>
      </c>
      <c r="H280" s="11">
        <v>40.08</v>
      </c>
      <c r="I280" s="11">
        <f t="shared" si="12"/>
        <v>240.48000000000002</v>
      </c>
      <c r="J280" s="7">
        <v>201603</v>
      </c>
    </row>
    <row r="281" spans="2:12" hidden="1" x14ac:dyDescent="0.3">
      <c r="C281" s="1">
        <v>43061</v>
      </c>
      <c r="D281" s="21">
        <v>290</v>
      </c>
      <c r="E281" s="117"/>
      <c r="F281" t="s">
        <v>196</v>
      </c>
      <c r="G281" s="11">
        <v>850.05</v>
      </c>
      <c r="H281" s="11">
        <v>0</v>
      </c>
      <c r="I281" s="11">
        <v>850.05</v>
      </c>
      <c r="J281" s="18">
        <v>201604</v>
      </c>
      <c r="K281" s="9"/>
    </row>
    <row r="282" spans="2:12" hidden="1" x14ac:dyDescent="0.3">
      <c r="C282" s="1">
        <v>43061</v>
      </c>
      <c r="D282" s="21">
        <v>290</v>
      </c>
      <c r="E282" s="117"/>
      <c r="F282" t="s">
        <v>196</v>
      </c>
      <c r="G282" s="11">
        <v>200.61</v>
      </c>
      <c r="H282" s="11">
        <v>0</v>
      </c>
      <c r="I282" s="11">
        <v>200.61</v>
      </c>
      <c r="J282" s="18">
        <v>201604</v>
      </c>
      <c r="K282" s="9"/>
      <c r="L282" t="s">
        <v>198</v>
      </c>
    </row>
    <row r="283" spans="2:12" hidden="1" x14ac:dyDescent="0.3">
      <c r="D283" s="21"/>
      <c r="E283" s="117"/>
      <c r="G283" s="12">
        <f>SUM(G261:G282)</f>
        <v>4866.7999999999993</v>
      </c>
      <c r="H283" s="12">
        <f>SUM(H261:H282)</f>
        <v>312.55</v>
      </c>
      <c r="I283" s="12">
        <f>SUM(I261:I282)</f>
        <v>5179.3500000000004</v>
      </c>
    </row>
    <row r="284" spans="2:12" hidden="1" x14ac:dyDescent="0.3">
      <c r="B284" s="6">
        <v>43070</v>
      </c>
      <c r="C284" s="1">
        <v>43073</v>
      </c>
      <c r="D284" s="21">
        <v>291</v>
      </c>
      <c r="E284" s="117"/>
      <c r="F284" t="s">
        <v>159</v>
      </c>
      <c r="G284" s="11">
        <v>373.96</v>
      </c>
      <c r="H284" s="11">
        <v>0</v>
      </c>
      <c r="I284" s="11">
        <f t="shared" ref="I284:I292" si="13">SUM(G284:H284)</f>
        <v>373.96</v>
      </c>
      <c r="J284" s="7">
        <v>201605</v>
      </c>
    </row>
    <row r="285" spans="2:12" hidden="1" x14ac:dyDescent="0.3">
      <c r="C285" s="1">
        <v>43073</v>
      </c>
      <c r="D285" s="21">
        <v>291</v>
      </c>
      <c r="E285" s="117"/>
      <c r="F285" t="s">
        <v>160</v>
      </c>
      <c r="G285" s="11">
        <v>15.07</v>
      </c>
      <c r="H285" s="11">
        <v>0</v>
      </c>
      <c r="I285" s="11">
        <f t="shared" si="13"/>
        <v>15.07</v>
      </c>
      <c r="J285" s="7">
        <v>201605</v>
      </c>
    </row>
    <row r="286" spans="2:12" hidden="1" x14ac:dyDescent="0.3">
      <c r="C286" s="1">
        <v>43073</v>
      </c>
      <c r="D286" s="21">
        <v>292</v>
      </c>
      <c r="E286" s="117"/>
      <c r="F286" t="s">
        <v>128</v>
      </c>
      <c r="G286" s="11">
        <v>13.44</v>
      </c>
      <c r="H286" s="11">
        <v>0</v>
      </c>
      <c r="I286" s="11">
        <f t="shared" si="13"/>
        <v>13.44</v>
      </c>
      <c r="J286" s="7">
        <v>201606</v>
      </c>
    </row>
    <row r="287" spans="2:12" hidden="1" x14ac:dyDescent="0.3">
      <c r="C287" s="1">
        <v>43073</v>
      </c>
      <c r="D287" s="21">
        <v>293</v>
      </c>
      <c r="E287" s="117"/>
      <c r="F287" t="s">
        <v>39</v>
      </c>
      <c r="G287" s="11">
        <v>500</v>
      </c>
      <c r="H287" s="11">
        <v>0</v>
      </c>
      <c r="I287" s="11">
        <f t="shared" si="13"/>
        <v>500</v>
      </c>
      <c r="J287" s="7">
        <v>201607</v>
      </c>
    </row>
    <row r="288" spans="2:12" hidden="1" x14ac:dyDescent="0.3">
      <c r="C288" s="1">
        <v>43073</v>
      </c>
      <c r="D288" s="21">
        <v>294</v>
      </c>
      <c r="E288" s="117"/>
      <c r="F288" t="s">
        <v>197</v>
      </c>
      <c r="G288" s="11">
        <v>175.11</v>
      </c>
      <c r="H288" s="11">
        <v>0</v>
      </c>
      <c r="I288" s="11">
        <f t="shared" si="13"/>
        <v>175.11</v>
      </c>
      <c r="J288" s="7">
        <v>201608</v>
      </c>
    </row>
    <row r="289" spans="3:10" hidden="1" x14ac:dyDescent="0.3">
      <c r="C289" s="1">
        <v>43073</v>
      </c>
      <c r="D289" s="21">
        <v>295</v>
      </c>
      <c r="E289" s="117"/>
      <c r="F289" t="s">
        <v>195</v>
      </c>
      <c r="G289" s="11">
        <v>123.57</v>
      </c>
      <c r="H289" s="11">
        <v>24.71</v>
      </c>
      <c r="I289" s="11">
        <f t="shared" si="13"/>
        <v>148.28</v>
      </c>
      <c r="J289" s="7">
        <v>201609</v>
      </c>
    </row>
    <row r="290" spans="3:10" hidden="1" x14ac:dyDescent="0.3">
      <c r="C290" s="1">
        <v>43073</v>
      </c>
      <c r="D290" s="21">
        <v>296</v>
      </c>
      <c r="E290" s="117"/>
      <c r="F290" t="s">
        <v>199</v>
      </c>
      <c r="G290" s="11">
        <v>673.09</v>
      </c>
      <c r="H290" s="11">
        <v>0</v>
      </c>
      <c r="I290" s="11">
        <f t="shared" si="13"/>
        <v>673.09</v>
      </c>
      <c r="J290" s="7">
        <v>201610</v>
      </c>
    </row>
    <row r="291" spans="3:10" hidden="1" x14ac:dyDescent="0.3">
      <c r="C291" s="1">
        <v>43073</v>
      </c>
      <c r="D291" s="21">
        <v>297</v>
      </c>
      <c r="E291" s="117"/>
      <c r="F291" t="s">
        <v>200</v>
      </c>
      <c r="G291" s="11">
        <v>63.74</v>
      </c>
      <c r="H291" s="11">
        <v>12.75</v>
      </c>
      <c r="I291" s="11">
        <f t="shared" si="13"/>
        <v>76.490000000000009</v>
      </c>
      <c r="J291" s="7">
        <v>201610</v>
      </c>
    </row>
    <row r="292" spans="3:10" hidden="1" x14ac:dyDescent="0.3">
      <c r="C292" s="1">
        <v>43100</v>
      </c>
      <c r="D292" s="21">
        <v>306</v>
      </c>
      <c r="E292" s="117"/>
      <c r="F292" t="s">
        <v>201</v>
      </c>
      <c r="G292" s="11">
        <v>8</v>
      </c>
      <c r="H292" s="11">
        <v>0</v>
      </c>
      <c r="I292" s="11">
        <f t="shared" si="13"/>
        <v>8</v>
      </c>
      <c r="J292" s="7" t="s">
        <v>26</v>
      </c>
    </row>
    <row r="293" spans="3:10" hidden="1" x14ac:dyDescent="0.3">
      <c r="C293" s="1"/>
      <c r="D293" s="21"/>
      <c r="E293" s="117"/>
      <c r="F293" t="s">
        <v>219</v>
      </c>
      <c r="G293" s="11">
        <v>1578</v>
      </c>
      <c r="I293" s="11">
        <v>1578</v>
      </c>
      <c r="J293" s="7" t="s">
        <v>203</v>
      </c>
    </row>
    <row r="294" spans="3:10" hidden="1" x14ac:dyDescent="0.3">
      <c r="D294" s="21"/>
      <c r="E294" s="117"/>
      <c r="G294" s="12">
        <f>SUM(G284:G293)</f>
        <v>3523.9799999999996</v>
      </c>
      <c r="H294" s="12">
        <f>SUM(H284:H293)</f>
        <v>37.46</v>
      </c>
      <c r="I294" s="12">
        <f>SUM(I284:I293)</f>
        <v>3561.4399999999996</v>
      </c>
    </row>
    <row r="295" spans="3:10" hidden="1" x14ac:dyDescent="0.3">
      <c r="C295" s="1">
        <v>43102</v>
      </c>
      <c r="D295" s="21">
        <v>298</v>
      </c>
      <c r="E295" s="117"/>
      <c r="F295" t="s">
        <v>31</v>
      </c>
      <c r="G295" s="11">
        <v>75</v>
      </c>
      <c r="H295" s="11">
        <v>0</v>
      </c>
      <c r="I295" s="11">
        <v>75</v>
      </c>
      <c r="J295" s="7">
        <v>201612</v>
      </c>
    </row>
    <row r="296" spans="3:10" hidden="1" x14ac:dyDescent="0.3">
      <c r="C296" s="1">
        <v>43102</v>
      </c>
      <c r="D296" s="21">
        <v>299</v>
      </c>
      <c r="E296" s="117"/>
      <c r="F296" t="s">
        <v>173</v>
      </c>
      <c r="G296" s="11">
        <v>33.979999999999997</v>
      </c>
      <c r="H296" s="11">
        <v>0</v>
      </c>
      <c r="I296" s="11">
        <v>33.979999999999997</v>
      </c>
      <c r="J296" s="7">
        <v>201613</v>
      </c>
    </row>
    <row r="297" spans="3:10" hidden="1" x14ac:dyDescent="0.3">
      <c r="C297" s="1">
        <v>43102</v>
      </c>
      <c r="D297" s="21">
        <v>300</v>
      </c>
      <c r="E297" s="117"/>
      <c r="F297" t="s">
        <v>204</v>
      </c>
      <c r="G297" s="11">
        <v>78</v>
      </c>
      <c r="H297" s="11">
        <v>15.6</v>
      </c>
      <c r="I297" s="11">
        <f t="shared" ref="I297:I305" si="14">SUM(G297:H297)</f>
        <v>93.6</v>
      </c>
      <c r="J297" s="7">
        <v>201614</v>
      </c>
    </row>
    <row r="298" spans="3:10" hidden="1" x14ac:dyDescent="0.3">
      <c r="C298" s="1">
        <v>43102</v>
      </c>
      <c r="D298" s="21">
        <v>301</v>
      </c>
      <c r="E298" s="117"/>
      <c r="F298" t="s">
        <v>205</v>
      </c>
      <c r="G298" s="11">
        <v>138.49</v>
      </c>
      <c r="H298" s="11">
        <v>0</v>
      </c>
      <c r="I298" s="11">
        <f t="shared" si="14"/>
        <v>138.49</v>
      </c>
      <c r="J298" s="7">
        <v>201615</v>
      </c>
    </row>
    <row r="299" spans="3:10" hidden="1" x14ac:dyDescent="0.3">
      <c r="C299" s="1">
        <v>43102</v>
      </c>
      <c r="D299" s="21">
        <v>302</v>
      </c>
      <c r="E299" s="117"/>
      <c r="F299" t="s">
        <v>205</v>
      </c>
      <c r="G299" s="11">
        <v>138.49</v>
      </c>
      <c r="H299" s="11">
        <v>0</v>
      </c>
      <c r="I299" s="11">
        <f t="shared" si="14"/>
        <v>138.49</v>
      </c>
      <c r="J299" s="7">
        <v>201616</v>
      </c>
    </row>
    <row r="300" spans="3:10" hidden="1" x14ac:dyDescent="0.3">
      <c r="C300" s="1">
        <v>43102</v>
      </c>
      <c r="D300" s="21">
        <v>303</v>
      </c>
      <c r="E300" s="117"/>
      <c r="F300" t="s">
        <v>98</v>
      </c>
      <c r="G300" s="11">
        <v>72.61</v>
      </c>
      <c r="H300" s="11">
        <v>0</v>
      </c>
      <c r="I300" s="11">
        <f t="shared" si="14"/>
        <v>72.61</v>
      </c>
      <c r="J300" s="7">
        <v>201617</v>
      </c>
    </row>
    <row r="301" spans="3:10" hidden="1" x14ac:dyDescent="0.3">
      <c r="C301" s="1">
        <v>43102</v>
      </c>
      <c r="D301" s="21">
        <v>304</v>
      </c>
      <c r="E301" s="117"/>
      <c r="F301" t="s">
        <v>159</v>
      </c>
      <c r="G301" s="11">
        <v>574.61</v>
      </c>
      <c r="H301" s="11">
        <v>0</v>
      </c>
      <c r="I301" s="11">
        <f t="shared" si="14"/>
        <v>574.61</v>
      </c>
      <c r="J301" s="7">
        <v>201618</v>
      </c>
    </row>
    <row r="302" spans="3:10" hidden="1" x14ac:dyDescent="0.3">
      <c r="C302" s="1">
        <v>43102</v>
      </c>
      <c r="D302" s="21">
        <v>304</v>
      </c>
      <c r="E302" s="117"/>
      <c r="F302" t="s">
        <v>160</v>
      </c>
      <c r="G302" s="11">
        <v>15.07</v>
      </c>
      <c r="H302" s="11">
        <v>0</v>
      </c>
      <c r="I302" s="11">
        <f t="shared" si="14"/>
        <v>15.07</v>
      </c>
      <c r="J302" s="7">
        <v>201618</v>
      </c>
    </row>
    <row r="303" spans="3:10" hidden="1" x14ac:dyDescent="0.3">
      <c r="C303" s="1">
        <v>43102</v>
      </c>
      <c r="D303" s="21">
        <v>305</v>
      </c>
      <c r="E303" s="117"/>
      <c r="F303" t="s">
        <v>206</v>
      </c>
      <c r="G303" s="11">
        <v>175.11</v>
      </c>
      <c r="H303" s="11">
        <v>0</v>
      </c>
      <c r="I303" s="11">
        <f t="shared" si="14"/>
        <v>175.11</v>
      </c>
      <c r="J303" s="7">
        <v>201619</v>
      </c>
    </row>
    <row r="304" spans="3:10" hidden="1" x14ac:dyDescent="0.3">
      <c r="C304" s="1">
        <v>43109</v>
      </c>
      <c r="D304" s="21">
        <v>307</v>
      </c>
      <c r="E304" s="117"/>
      <c r="F304" t="s">
        <v>137</v>
      </c>
      <c r="G304" s="11">
        <v>195.8</v>
      </c>
      <c r="H304" s="11">
        <v>0</v>
      </c>
      <c r="I304" s="11">
        <f t="shared" si="14"/>
        <v>195.8</v>
      </c>
      <c r="J304" s="7">
        <v>201620</v>
      </c>
    </row>
    <row r="305" spans="3:10" hidden="1" x14ac:dyDescent="0.3">
      <c r="C305" s="1">
        <v>43109</v>
      </c>
      <c r="D305" s="21">
        <v>308</v>
      </c>
      <c r="E305" s="117"/>
      <c r="F305" t="s">
        <v>205</v>
      </c>
      <c r="G305" s="11">
        <v>13.84</v>
      </c>
      <c r="H305" s="11">
        <v>0</v>
      </c>
      <c r="I305" s="11">
        <f t="shared" si="14"/>
        <v>13.84</v>
      </c>
      <c r="J305" s="7">
        <v>201621</v>
      </c>
    </row>
    <row r="306" spans="3:10" hidden="1" x14ac:dyDescent="0.3">
      <c r="D306" s="21"/>
      <c r="E306" s="117"/>
      <c r="F306" t="s">
        <v>219</v>
      </c>
      <c r="G306" s="11">
        <v>789</v>
      </c>
      <c r="H306" s="11">
        <v>0</v>
      </c>
      <c r="I306" s="11">
        <v>789</v>
      </c>
      <c r="J306" s="7" t="s">
        <v>207</v>
      </c>
    </row>
    <row r="307" spans="3:10" hidden="1" x14ac:dyDescent="0.3">
      <c r="C307" s="1">
        <v>43103</v>
      </c>
      <c r="D307" s="21">
        <v>317</v>
      </c>
      <c r="E307" s="117"/>
      <c r="F307" t="s">
        <v>201</v>
      </c>
      <c r="G307" s="11">
        <v>4</v>
      </c>
      <c r="H307" s="11">
        <v>0</v>
      </c>
      <c r="I307" s="11">
        <v>4</v>
      </c>
      <c r="J307" s="7" t="s">
        <v>26</v>
      </c>
    </row>
    <row r="308" spans="3:10" hidden="1" x14ac:dyDescent="0.3">
      <c r="D308" s="21"/>
      <c r="E308" s="117"/>
      <c r="G308" s="12">
        <f>SUM(G295:G307)</f>
        <v>2304</v>
      </c>
      <c r="H308" s="12">
        <f>SUM(H295:H307)</f>
        <v>15.6</v>
      </c>
      <c r="I308" s="12">
        <f>SUM(I295:I307)</f>
        <v>2319.6</v>
      </c>
    </row>
    <row r="309" spans="3:10" hidden="1" x14ac:dyDescent="0.3">
      <c r="C309" s="1">
        <v>43132</v>
      </c>
      <c r="D309" s="21">
        <v>309</v>
      </c>
      <c r="E309" s="117"/>
      <c r="F309" t="s">
        <v>208</v>
      </c>
      <c r="G309" s="11">
        <v>50</v>
      </c>
      <c r="H309" s="11">
        <v>0</v>
      </c>
      <c r="I309" s="11">
        <f t="shared" ref="I309:I327" si="15">SUM(G309:H309)</f>
        <v>50</v>
      </c>
      <c r="J309" s="7">
        <v>201623</v>
      </c>
    </row>
    <row r="310" spans="3:10" hidden="1" x14ac:dyDescent="0.3">
      <c r="C310" s="1">
        <v>43132</v>
      </c>
      <c r="D310" s="21">
        <v>310</v>
      </c>
      <c r="E310" s="117"/>
      <c r="F310" t="s">
        <v>209</v>
      </c>
      <c r="G310" s="11">
        <v>71.8</v>
      </c>
      <c r="H310" s="11">
        <v>14.36</v>
      </c>
      <c r="I310" s="11">
        <f t="shared" si="15"/>
        <v>86.16</v>
      </c>
      <c r="J310" s="7">
        <v>201624</v>
      </c>
    </row>
    <row r="311" spans="3:10" hidden="1" x14ac:dyDescent="0.3">
      <c r="C311" s="1">
        <v>43132</v>
      </c>
      <c r="D311" s="21">
        <v>311</v>
      </c>
      <c r="E311" s="117"/>
      <c r="F311" t="s">
        <v>145</v>
      </c>
      <c r="G311" s="11">
        <v>40</v>
      </c>
      <c r="H311" s="11">
        <v>0</v>
      </c>
      <c r="I311" s="11">
        <f t="shared" si="15"/>
        <v>40</v>
      </c>
      <c r="J311" s="7">
        <v>201625</v>
      </c>
    </row>
    <row r="312" spans="3:10" hidden="1" x14ac:dyDescent="0.3">
      <c r="C312" s="1">
        <v>43132</v>
      </c>
      <c r="D312" s="21">
        <v>312</v>
      </c>
      <c r="E312" s="117"/>
      <c r="F312" t="s">
        <v>210</v>
      </c>
      <c r="G312" s="11">
        <v>185</v>
      </c>
      <c r="H312" s="11">
        <v>37</v>
      </c>
      <c r="I312" s="11">
        <f t="shared" si="15"/>
        <v>222</v>
      </c>
      <c r="J312" s="7">
        <v>201626</v>
      </c>
    </row>
    <row r="313" spans="3:10" hidden="1" x14ac:dyDescent="0.3">
      <c r="C313" s="1">
        <v>43132</v>
      </c>
      <c r="D313" s="21">
        <v>313</v>
      </c>
      <c r="E313" s="117"/>
      <c r="F313" t="s">
        <v>211</v>
      </c>
      <c r="G313" s="11">
        <v>185</v>
      </c>
      <c r="H313" s="11">
        <v>37</v>
      </c>
      <c r="I313" s="11">
        <f t="shared" si="15"/>
        <v>222</v>
      </c>
      <c r="J313" s="7">
        <v>201627</v>
      </c>
    </row>
    <row r="314" spans="3:10" hidden="1" x14ac:dyDescent="0.3">
      <c r="C314" s="1">
        <v>43132</v>
      </c>
      <c r="D314" s="21">
        <v>314</v>
      </c>
      <c r="E314" s="117"/>
      <c r="F314" t="s">
        <v>209</v>
      </c>
      <c r="G314" s="11">
        <v>74.8</v>
      </c>
      <c r="H314" s="11">
        <v>14.96</v>
      </c>
      <c r="I314" s="11">
        <f t="shared" si="15"/>
        <v>89.759999999999991</v>
      </c>
      <c r="J314" s="7">
        <v>201628</v>
      </c>
    </row>
    <row r="315" spans="3:10" hidden="1" x14ac:dyDescent="0.3">
      <c r="C315" s="1">
        <v>43132</v>
      </c>
      <c r="D315" s="21">
        <v>315</v>
      </c>
      <c r="E315" s="117"/>
      <c r="F315" t="s">
        <v>212</v>
      </c>
      <c r="G315" s="11">
        <v>574.61</v>
      </c>
      <c r="H315" s="11">
        <v>0</v>
      </c>
      <c r="I315" s="11">
        <f t="shared" si="15"/>
        <v>574.61</v>
      </c>
      <c r="J315" s="7">
        <v>201629</v>
      </c>
    </row>
    <row r="316" spans="3:10" hidden="1" x14ac:dyDescent="0.3">
      <c r="C316" s="1">
        <v>43132</v>
      </c>
      <c r="D316" s="21">
        <v>315</v>
      </c>
      <c r="E316" s="117"/>
      <c r="F316" t="s">
        <v>213</v>
      </c>
      <c r="G316" s="11">
        <v>15.07</v>
      </c>
      <c r="H316" s="11">
        <v>0</v>
      </c>
      <c r="I316" s="11">
        <f t="shared" si="15"/>
        <v>15.07</v>
      </c>
      <c r="J316" s="7">
        <v>201629</v>
      </c>
    </row>
    <row r="317" spans="3:10" hidden="1" x14ac:dyDescent="0.3">
      <c r="C317" s="1">
        <v>43132</v>
      </c>
      <c r="D317" s="21">
        <v>316</v>
      </c>
      <c r="E317" s="117"/>
      <c r="F317" t="s">
        <v>206</v>
      </c>
      <c r="G317" s="11">
        <v>175.11</v>
      </c>
      <c r="H317" s="11">
        <v>0</v>
      </c>
      <c r="I317" s="11">
        <f t="shared" si="15"/>
        <v>175.11</v>
      </c>
      <c r="J317" s="7">
        <v>201630</v>
      </c>
    </row>
    <row r="318" spans="3:10" hidden="1" x14ac:dyDescent="0.3">
      <c r="C318" s="1">
        <v>43132</v>
      </c>
      <c r="D318" s="21">
        <v>318</v>
      </c>
      <c r="E318" s="117"/>
      <c r="F318" t="s">
        <v>214</v>
      </c>
      <c r="G318" s="11">
        <v>320.83</v>
      </c>
      <c r="H318" s="11">
        <v>16.04</v>
      </c>
      <c r="I318" s="11">
        <f t="shared" si="15"/>
        <v>336.87</v>
      </c>
      <c r="J318" s="7">
        <v>201631</v>
      </c>
    </row>
    <row r="319" spans="3:10" hidden="1" x14ac:dyDescent="0.3">
      <c r="D319" s="21"/>
      <c r="E319" s="117"/>
      <c r="G319" s="12">
        <f>SUM(G309:G318)</f>
        <v>1692.2199999999998</v>
      </c>
      <c r="H319" s="12">
        <f>SUM(H309:H318)</f>
        <v>119.35999999999999</v>
      </c>
      <c r="I319" s="12">
        <f t="shared" si="15"/>
        <v>1811.5799999999997</v>
      </c>
    </row>
    <row r="320" spans="3:10" hidden="1" x14ac:dyDescent="0.3">
      <c r="C320" s="1">
        <v>43160</v>
      </c>
      <c r="D320" s="21">
        <v>319</v>
      </c>
      <c r="E320" s="117"/>
      <c r="F320" t="s">
        <v>215</v>
      </c>
      <c r="G320" s="11">
        <v>185</v>
      </c>
      <c r="H320" s="11">
        <v>37</v>
      </c>
      <c r="I320" s="11">
        <f t="shared" si="15"/>
        <v>222</v>
      </c>
      <c r="J320" s="7">
        <v>201632</v>
      </c>
    </row>
    <row r="321" spans="2:16" hidden="1" x14ac:dyDescent="0.3">
      <c r="C321" s="1">
        <v>43160</v>
      </c>
      <c r="D321" s="21">
        <v>320</v>
      </c>
      <c r="E321" s="117"/>
      <c r="F321" t="s">
        <v>212</v>
      </c>
      <c r="G321" s="11">
        <v>574.61</v>
      </c>
      <c r="H321" s="11">
        <v>0</v>
      </c>
      <c r="I321" s="11">
        <f t="shared" si="15"/>
        <v>574.61</v>
      </c>
      <c r="J321" s="7">
        <v>201633</v>
      </c>
    </row>
    <row r="322" spans="2:16" hidden="1" x14ac:dyDescent="0.3">
      <c r="C322" s="1">
        <v>43160</v>
      </c>
      <c r="D322" s="21">
        <v>320</v>
      </c>
      <c r="E322" s="117"/>
      <c r="F322" t="s">
        <v>213</v>
      </c>
      <c r="G322" s="11">
        <v>15.07</v>
      </c>
      <c r="H322" s="11">
        <v>0</v>
      </c>
      <c r="I322" s="11">
        <f t="shared" si="15"/>
        <v>15.07</v>
      </c>
      <c r="J322" s="7">
        <v>201633</v>
      </c>
    </row>
    <row r="323" spans="2:16" hidden="1" x14ac:dyDescent="0.3">
      <c r="C323" s="1">
        <v>43160</v>
      </c>
      <c r="D323" s="21">
        <v>320</v>
      </c>
      <c r="E323" s="117"/>
      <c r="F323" t="s">
        <v>216</v>
      </c>
      <c r="G323" s="11">
        <v>81.45</v>
      </c>
      <c r="H323" s="11">
        <v>0</v>
      </c>
      <c r="I323" s="11">
        <f t="shared" si="15"/>
        <v>81.45</v>
      </c>
      <c r="J323" s="7">
        <v>201633</v>
      </c>
    </row>
    <row r="324" spans="2:16" hidden="1" x14ac:dyDescent="0.3">
      <c r="C324" s="1">
        <v>43160</v>
      </c>
      <c r="D324" s="21">
        <v>321</v>
      </c>
      <c r="E324" s="117"/>
      <c r="F324" t="s">
        <v>206</v>
      </c>
      <c r="G324" s="11">
        <v>175.11</v>
      </c>
      <c r="H324" s="11">
        <v>0</v>
      </c>
      <c r="I324" s="11">
        <f t="shared" si="15"/>
        <v>175.11</v>
      </c>
      <c r="J324" s="7">
        <v>201634</v>
      </c>
    </row>
    <row r="325" spans="2:16" hidden="1" x14ac:dyDescent="0.3">
      <c r="C325" s="1">
        <v>43160</v>
      </c>
      <c r="D325" s="21">
        <v>322</v>
      </c>
      <c r="E325" s="117"/>
      <c r="F325" t="s">
        <v>217</v>
      </c>
      <c r="G325" s="11">
        <v>28.13</v>
      </c>
      <c r="H325" s="11">
        <v>5.63</v>
      </c>
      <c r="I325" s="11">
        <f t="shared" si="15"/>
        <v>33.76</v>
      </c>
      <c r="J325" s="7">
        <v>201635</v>
      </c>
    </row>
    <row r="326" spans="2:16" hidden="1" x14ac:dyDescent="0.3">
      <c r="C326" s="1">
        <v>43160</v>
      </c>
      <c r="D326" s="21">
        <v>323</v>
      </c>
      <c r="E326" s="117"/>
      <c r="F326" t="s">
        <v>220</v>
      </c>
      <c r="G326" s="11">
        <v>34.99</v>
      </c>
      <c r="H326" s="11">
        <v>7</v>
      </c>
      <c r="I326" s="11">
        <f t="shared" si="15"/>
        <v>41.99</v>
      </c>
      <c r="J326" s="7">
        <v>201636</v>
      </c>
    </row>
    <row r="327" spans="2:16" hidden="1" x14ac:dyDescent="0.3">
      <c r="C327" s="1">
        <v>43160</v>
      </c>
      <c r="D327" s="21">
        <v>324</v>
      </c>
      <c r="E327" s="117"/>
      <c r="F327" t="s">
        <v>218</v>
      </c>
      <c r="G327" s="11">
        <v>693</v>
      </c>
      <c r="H327" s="11">
        <v>0</v>
      </c>
      <c r="I327" s="11">
        <f t="shared" si="15"/>
        <v>693</v>
      </c>
      <c r="J327" s="7" t="s">
        <v>26</v>
      </c>
    </row>
    <row r="328" spans="2:16" hidden="1" x14ac:dyDescent="0.3">
      <c r="C328" s="1">
        <v>42817</v>
      </c>
      <c r="D328" s="21">
        <v>325</v>
      </c>
      <c r="E328" s="117"/>
      <c r="F328" t="s">
        <v>209</v>
      </c>
      <c r="I328" s="11">
        <v>110.55</v>
      </c>
      <c r="J328" s="7">
        <v>201637</v>
      </c>
    </row>
    <row r="329" spans="2:16" hidden="1" x14ac:dyDescent="0.3">
      <c r="C329" s="1">
        <v>43182</v>
      </c>
      <c r="D329" s="21">
        <v>326</v>
      </c>
      <c r="E329" s="117"/>
      <c r="F329" t="s">
        <v>217</v>
      </c>
      <c r="G329" s="11">
        <v>79.98</v>
      </c>
      <c r="H329" s="11">
        <v>16</v>
      </c>
      <c r="I329" s="11">
        <v>95.98</v>
      </c>
      <c r="J329" s="7">
        <v>201638</v>
      </c>
    </row>
    <row r="330" spans="2:16" hidden="1" x14ac:dyDescent="0.3">
      <c r="C330" s="1">
        <v>43182</v>
      </c>
      <c r="D330" s="21">
        <v>327</v>
      </c>
      <c r="E330" s="117"/>
      <c r="F330" t="s">
        <v>128</v>
      </c>
      <c r="G330" s="11">
        <v>6.72</v>
      </c>
      <c r="H330" s="11">
        <v>0</v>
      </c>
      <c r="I330" s="11">
        <v>6.72</v>
      </c>
      <c r="J330" s="7">
        <v>201639</v>
      </c>
    </row>
    <row r="331" spans="2:16" hidden="1" x14ac:dyDescent="0.3">
      <c r="D331" s="21"/>
      <c r="E331" s="117"/>
      <c r="G331" s="11">
        <f>SUM(G320:G330)</f>
        <v>1874.0600000000004</v>
      </c>
      <c r="H331" s="11">
        <f>SUM(H320:H330)</f>
        <v>65.63</v>
      </c>
      <c r="I331" s="11">
        <f>SUM(I320:I330)</f>
        <v>2050.2400000000002</v>
      </c>
    </row>
    <row r="332" spans="2:16" hidden="1" x14ac:dyDescent="0.3">
      <c r="D332" s="21"/>
      <c r="E332" s="117"/>
    </row>
    <row r="333" spans="2:16" ht="26" x14ac:dyDescent="0.3">
      <c r="D333" s="21"/>
      <c r="E333" s="117"/>
      <c r="F333" s="48" t="s">
        <v>289</v>
      </c>
      <c r="K333" s="11"/>
      <c r="L333" s="186"/>
      <c r="P333" s="222"/>
    </row>
    <row r="334" spans="2:16" ht="13.5" thickBot="1" x14ac:dyDescent="0.35">
      <c r="D334" s="21"/>
      <c r="E334" s="117"/>
    </row>
    <row r="335" spans="2:16" ht="26.5" thickBot="1" x14ac:dyDescent="0.35">
      <c r="B335" s="179"/>
      <c r="C335" s="210" t="s">
        <v>263</v>
      </c>
      <c r="D335" s="181" t="s">
        <v>1</v>
      </c>
      <c r="E335" s="182" t="s">
        <v>250</v>
      </c>
      <c r="F335" s="180" t="s">
        <v>243</v>
      </c>
      <c r="G335" s="183" t="s">
        <v>229</v>
      </c>
      <c r="H335" s="183" t="s">
        <v>222</v>
      </c>
      <c r="I335" s="183" t="s">
        <v>230</v>
      </c>
      <c r="J335" s="202" t="s">
        <v>262</v>
      </c>
      <c r="K335" s="184" t="s">
        <v>231</v>
      </c>
      <c r="L335" s="183" t="s">
        <v>238</v>
      </c>
      <c r="M335" s="185" t="s">
        <v>259</v>
      </c>
      <c r="N335" s="347" t="s">
        <v>249</v>
      </c>
      <c r="O335" s="66"/>
      <c r="P335" s="158" t="s">
        <v>301</v>
      </c>
    </row>
    <row r="336" spans="2:16" ht="13.9" customHeight="1" x14ac:dyDescent="0.3">
      <c r="B336" s="95">
        <v>45748</v>
      </c>
      <c r="C336" s="395">
        <v>45751</v>
      </c>
      <c r="D336" s="251" t="s">
        <v>290</v>
      </c>
      <c r="E336" s="252">
        <v>8.1999999999999993</v>
      </c>
      <c r="F336" s="256" t="s">
        <v>291</v>
      </c>
      <c r="G336" s="282">
        <v>72.040000000000006</v>
      </c>
      <c r="H336" s="282">
        <v>14.41</v>
      </c>
      <c r="I336" s="283">
        <f>SUM(G336:H336)</f>
        <v>86.45</v>
      </c>
      <c r="J336" s="253" t="s">
        <v>287</v>
      </c>
      <c r="K336" s="254">
        <v>45751</v>
      </c>
      <c r="L336" s="111">
        <v>22</v>
      </c>
      <c r="M336" s="139"/>
      <c r="N336" s="211">
        <f>SUM(G336)/2500</f>
        <v>2.8816000000000001E-2</v>
      </c>
      <c r="O336" s="40"/>
      <c r="P336" s="64" t="s">
        <v>302</v>
      </c>
    </row>
    <row r="337" spans="2:16" x14ac:dyDescent="0.3">
      <c r="B337" s="32"/>
      <c r="C337" s="396">
        <v>45756</v>
      </c>
      <c r="D337" s="251" t="s">
        <v>292</v>
      </c>
      <c r="E337" s="121">
        <v>8.1999999999999993</v>
      </c>
      <c r="F337" s="79" t="s">
        <v>299</v>
      </c>
      <c r="G337" s="169">
        <v>177</v>
      </c>
      <c r="H337" s="169">
        <v>0</v>
      </c>
      <c r="I337" s="283">
        <f t="shared" ref="I337:I344" si="16">SUM(G337:H337)</f>
        <v>177</v>
      </c>
      <c r="J337" s="253" t="s">
        <v>269</v>
      </c>
      <c r="K337" s="254">
        <v>45756</v>
      </c>
      <c r="L337" s="42">
        <v>10</v>
      </c>
      <c r="M337" s="136"/>
      <c r="N337" s="59">
        <f>G337/406</f>
        <v>0.43596059113300495</v>
      </c>
      <c r="O337" s="40"/>
      <c r="P337" s="64" t="s">
        <v>319</v>
      </c>
    </row>
    <row r="338" spans="2:16" x14ac:dyDescent="0.3">
      <c r="B338" s="32"/>
      <c r="C338" s="396">
        <v>45756</v>
      </c>
      <c r="D338" s="251" t="s">
        <v>293</v>
      </c>
      <c r="E338" s="121">
        <v>8.1999999999999993</v>
      </c>
      <c r="F338" s="79" t="s">
        <v>395</v>
      </c>
      <c r="G338" s="169">
        <v>106.38</v>
      </c>
      <c r="H338" s="169">
        <v>0</v>
      </c>
      <c r="I338" s="283">
        <f t="shared" si="16"/>
        <v>106.38</v>
      </c>
      <c r="J338" s="253" t="s">
        <v>269</v>
      </c>
      <c r="K338" s="254">
        <v>45756</v>
      </c>
      <c r="L338" s="42">
        <v>2</v>
      </c>
      <c r="M338" s="135"/>
      <c r="N338" s="59">
        <f>G338/1292.52</f>
        <v>8.2304335716275184E-2</v>
      </c>
      <c r="O338" s="40"/>
      <c r="P338" s="64" t="s">
        <v>256</v>
      </c>
    </row>
    <row r="339" spans="2:16" x14ac:dyDescent="0.3">
      <c r="B339" s="32"/>
      <c r="C339" s="396">
        <v>45756</v>
      </c>
      <c r="D339" s="251" t="s">
        <v>294</v>
      </c>
      <c r="E339" s="121">
        <v>8.1999999999999993</v>
      </c>
      <c r="F339" s="256" t="s">
        <v>273</v>
      </c>
      <c r="G339" s="169">
        <v>46.25</v>
      </c>
      <c r="H339" s="169">
        <v>9.25</v>
      </c>
      <c r="I339" s="283">
        <f t="shared" si="16"/>
        <v>55.5</v>
      </c>
      <c r="J339" s="253" t="s">
        <v>269</v>
      </c>
      <c r="K339" s="254">
        <v>45756</v>
      </c>
      <c r="L339" s="42">
        <v>22</v>
      </c>
      <c r="M339" s="135"/>
      <c r="N339" s="59">
        <f>SUM(G336+G339)/2500</f>
        <v>4.7316000000000004E-2</v>
      </c>
      <c r="O339" s="40"/>
      <c r="P339" s="64" t="s">
        <v>257</v>
      </c>
    </row>
    <row r="340" spans="2:16" x14ac:dyDescent="0.3">
      <c r="B340" s="32"/>
      <c r="C340" s="396">
        <v>45769</v>
      </c>
      <c r="D340" s="251" t="s">
        <v>295</v>
      </c>
      <c r="E340" s="121">
        <v>8.1999999999999993</v>
      </c>
      <c r="F340" s="256" t="s">
        <v>331</v>
      </c>
      <c r="G340" s="169">
        <v>84.99</v>
      </c>
      <c r="H340" s="169">
        <v>0</v>
      </c>
      <c r="I340" s="283">
        <f t="shared" si="16"/>
        <v>84.99</v>
      </c>
      <c r="J340" s="253" t="s">
        <v>275</v>
      </c>
      <c r="K340" s="254">
        <v>45769</v>
      </c>
      <c r="L340" s="42">
        <v>9</v>
      </c>
      <c r="M340" s="135"/>
      <c r="N340" s="59">
        <f>I340/80</f>
        <v>1.0623749999999998</v>
      </c>
      <c r="O340" s="40"/>
      <c r="P340" s="64" t="s">
        <v>266</v>
      </c>
    </row>
    <row r="341" spans="2:16" x14ac:dyDescent="0.3">
      <c r="B341" s="32"/>
      <c r="C341" s="396">
        <v>45756</v>
      </c>
      <c r="D341" s="251" t="s">
        <v>296</v>
      </c>
      <c r="E341" s="121">
        <v>8.1999999999999993</v>
      </c>
      <c r="F341" s="79" t="s">
        <v>300</v>
      </c>
      <c r="G341" s="169">
        <v>50</v>
      </c>
      <c r="H341" s="169">
        <v>10</v>
      </c>
      <c r="I341" s="283">
        <f t="shared" si="16"/>
        <v>60</v>
      </c>
      <c r="J341" s="253" t="s">
        <v>269</v>
      </c>
      <c r="K341" s="254">
        <v>45756</v>
      </c>
      <c r="L341" s="42">
        <v>13</v>
      </c>
      <c r="M341" s="135"/>
      <c r="N341" s="59">
        <f>G341/1600</f>
        <v>3.125E-2</v>
      </c>
      <c r="O341" s="40"/>
      <c r="P341" s="64" t="s">
        <v>303</v>
      </c>
    </row>
    <row r="342" spans="2:16" x14ac:dyDescent="0.3">
      <c r="B342" s="32"/>
      <c r="C342" s="396">
        <v>45765</v>
      </c>
      <c r="D342" s="251" t="s">
        <v>297</v>
      </c>
      <c r="E342" s="121">
        <v>8.1999999999999993</v>
      </c>
      <c r="F342" s="27" t="s">
        <v>402</v>
      </c>
      <c r="G342" s="29">
        <v>5</v>
      </c>
      <c r="H342" s="29">
        <v>0</v>
      </c>
      <c r="I342" s="283">
        <f t="shared" si="16"/>
        <v>5</v>
      </c>
      <c r="J342" s="7" t="s">
        <v>270</v>
      </c>
      <c r="K342" s="147">
        <v>45768</v>
      </c>
      <c r="L342" s="42">
        <v>34</v>
      </c>
      <c r="M342" s="135"/>
      <c r="N342" s="59">
        <f>G342/100</f>
        <v>0.05</v>
      </c>
      <c r="O342" s="40"/>
      <c r="P342" s="64" t="s">
        <v>267</v>
      </c>
    </row>
    <row r="343" spans="2:16" x14ac:dyDescent="0.3">
      <c r="B343" s="32"/>
      <c r="C343" s="396">
        <v>45775</v>
      </c>
      <c r="D343" s="251" t="s">
        <v>298</v>
      </c>
      <c r="E343" s="121">
        <v>8.1999999999999993</v>
      </c>
      <c r="F343" s="257" t="s">
        <v>278</v>
      </c>
      <c r="G343" s="167">
        <v>1014.94</v>
      </c>
      <c r="H343" s="167">
        <v>0</v>
      </c>
      <c r="I343" s="283">
        <f t="shared" si="16"/>
        <v>1014.94</v>
      </c>
      <c r="J343" s="43" t="s">
        <v>260</v>
      </c>
      <c r="K343" s="147">
        <v>45775</v>
      </c>
      <c r="L343" s="42">
        <v>1</v>
      </c>
      <c r="M343" s="135"/>
      <c r="N343" s="59">
        <f>SUM(G343)/12788.25</f>
        <v>7.9365042128516416E-2</v>
      </c>
      <c r="O343" s="40"/>
      <c r="P343" s="64" t="s">
        <v>304</v>
      </c>
    </row>
    <row r="344" spans="2:16" x14ac:dyDescent="0.3">
      <c r="B344" s="72"/>
      <c r="C344" s="396">
        <v>45775</v>
      </c>
      <c r="D344" s="251" t="s">
        <v>330</v>
      </c>
      <c r="E344" s="121">
        <v>8.1999999999999993</v>
      </c>
      <c r="F344" s="159" t="s">
        <v>279</v>
      </c>
      <c r="G344" s="232">
        <v>26</v>
      </c>
      <c r="H344" s="232">
        <v>0</v>
      </c>
      <c r="I344" s="283">
        <f t="shared" si="16"/>
        <v>26</v>
      </c>
      <c r="J344" s="240" t="s">
        <v>260</v>
      </c>
      <c r="K344" s="191">
        <v>45775</v>
      </c>
      <c r="L344" s="93">
        <v>3</v>
      </c>
      <c r="M344" s="140"/>
      <c r="N344" s="78">
        <f>SUM(G344)/312</f>
        <v>8.3333333333333329E-2</v>
      </c>
      <c r="O344" s="40"/>
      <c r="P344" s="64" t="s">
        <v>510</v>
      </c>
    </row>
    <row r="345" spans="2:16" ht="13.5" thickBot="1" x14ac:dyDescent="0.35">
      <c r="B345" s="34"/>
      <c r="C345" s="35"/>
      <c r="D345" s="60"/>
      <c r="E345" s="122"/>
      <c r="F345" s="35"/>
      <c r="G345" s="230">
        <f>SUM(G336:G344)</f>
        <v>1582.6000000000001</v>
      </c>
      <c r="H345" s="230">
        <f t="shared" ref="H345:I345" si="17">SUM(H336:H344)</f>
        <v>33.659999999999997</v>
      </c>
      <c r="I345" s="230">
        <f t="shared" si="17"/>
        <v>1616.26</v>
      </c>
      <c r="J345" s="36"/>
      <c r="K345" s="63"/>
      <c r="L345" s="61"/>
      <c r="M345" s="138"/>
      <c r="N345" s="62"/>
      <c r="O345" s="40"/>
      <c r="P345" s="64" t="s">
        <v>305</v>
      </c>
    </row>
    <row r="346" spans="2:16" ht="26" x14ac:dyDescent="0.3">
      <c r="B346" s="84"/>
      <c r="C346" s="255" t="s">
        <v>263</v>
      </c>
      <c r="D346" s="81" t="s">
        <v>1</v>
      </c>
      <c r="E346" s="126" t="s">
        <v>244</v>
      </c>
      <c r="F346" s="80" t="s">
        <v>243</v>
      </c>
      <c r="G346" s="82" t="s">
        <v>229</v>
      </c>
      <c r="H346" s="82" t="s">
        <v>222</v>
      </c>
      <c r="I346" s="82" t="s">
        <v>230</v>
      </c>
      <c r="J346" s="201" t="s">
        <v>262</v>
      </c>
      <c r="K346" s="83" t="s">
        <v>231</v>
      </c>
      <c r="L346" s="82" t="s">
        <v>238</v>
      </c>
      <c r="M346" s="143" t="s">
        <v>259</v>
      </c>
      <c r="N346" s="348" t="s">
        <v>249</v>
      </c>
      <c r="O346" s="40"/>
      <c r="P346" s="64" t="s">
        <v>306</v>
      </c>
    </row>
    <row r="347" spans="2:16" ht="13.9" customHeight="1" x14ac:dyDescent="0.3">
      <c r="B347" s="150">
        <v>45778</v>
      </c>
      <c r="C347" s="396">
        <v>45778</v>
      </c>
      <c r="D347" s="45" t="s">
        <v>332</v>
      </c>
      <c r="E347" s="121">
        <v>31.2</v>
      </c>
      <c r="F347" s="79" t="s">
        <v>345</v>
      </c>
      <c r="G347" s="169">
        <v>83.63</v>
      </c>
      <c r="H347" s="169">
        <v>4.18</v>
      </c>
      <c r="I347" s="283">
        <f>SUM(G347:H347)</f>
        <v>87.81</v>
      </c>
      <c r="J347" s="253" t="s">
        <v>269</v>
      </c>
      <c r="K347" s="156">
        <v>45778</v>
      </c>
      <c r="L347" s="77">
        <v>22</v>
      </c>
      <c r="M347" s="140"/>
      <c r="N347" s="78">
        <f>SUM(G336+G347)/2500</f>
        <v>6.2268000000000004E-2</v>
      </c>
      <c r="O347" s="40"/>
      <c r="P347" s="64" t="s">
        <v>554</v>
      </c>
    </row>
    <row r="348" spans="2:16" x14ac:dyDescent="0.3">
      <c r="B348" s="32"/>
      <c r="C348" s="397">
        <v>45783</v>
      </c>
      <c r="D348" s="45" t="s">
        <v>333</v>
      </c>
      <c r="E348" s="121">
        <v>31.2</v>
      </c>
      <c r="F348" s="79" t="s">
        <v>346</v>
      </c>
      <c r="G348" s="29">
        <v>32.950000000000003</v>
      </c>
      <c r="H348" s="29">
        <v>6.59</v>
      </c>
      <c r="I348" s="283">
        <f t="shared" ref="I348:I356" si="18">SUM(G348:H348)</f>
        <v>39.540000000000006</v>
      </c>
      <c r="J348" s="195" t="s">
        <v>287</v>
      </c>
      <c r="K348" s="147">
        <v>45783</v>
      </c>
      <c r="L348" s="42">
        <v>22</v>
      </c>
      <c r="M348" s="42"/>
      <c r="N348" s="244">
        <f>SUM(G336+G347+G348)/2500</f>
        <v>7.5448000000000001E-2</v>
      </c>
      <c r="O348" s="40"/>
      <c r="P348" s="64" t="s">
        <v>308</v>
      </c>
    </row>
    <row r="349" spans="2:16" x14ac:dyDescent="0.3">
      <c r="B349" s="32"/>
      <c r="C349" s="397">
        <v>45783</v>
      </c>
      <c r="D349" s="45" t="s">
        <v>334</v>
      </c>
      <c r="E349" s="121">
        <v>31.2</v>
      </c>
      <c r="F349" s="79" t="s">
        <v>337</v>
      </c>
      <c r="G349" s="29">
        <v>37.200000000000003</v>
      </c>
      <c r="H349" s="29">
        <v>7.44</v>
      </c>
      <c r="I349" s="283">
        <f t="shared" si="18"/>
        <v>44.64</v>
      </c>
      <c r="J349" s="195" t="s">
        <v>275</v>
      </c>
      <c r="K349" s="147">
        <v>45784</v>
      </c>
      <c r="L349" s="42">
        <v>9</v>
      </c>
      <c r="M349" s="42"/>
      <c r="N349" s="244">
        <f>SUM(I340+G349)/130</f>
        <v>0.93992307692307686</v>
      </c>
      <c r="O349" s="40"/>
      <c r="P349" s="64" t="s">
        <v>239</v>
      </c>
    </row>
    <row r="350" spans="2:16" x14ac:dyDescent="0.3">
      <c r="B350" s="32"/>
      <c r="C350" s="397">
        <v>45792</v>
      </c>
      <c r="D350" s="45" t="s">
        <v>335</v>
      </c>
      <c r="E350" s="121">
        <v>31.2</v>
      </c>
      <c r="F350" s="79" t="s">
        <v>276</v>
      </c>
      <c r="G350" s="29">
        <v>51.25</v>
      </c>
      <c r="H350" s="29">
        <v>10.25</v>
      </c>
      <c r="I350" s="239">
        <f t="shared" si="18"/>
        <v>61.5</v>
      </c>
      <c r="J350" s="43" t="s">
        <v>269</v>
      </c>
      <c r="K350" s="147">
        <v>45792</v>
      </c>
      <c r="L350" s="42">
        <v>22</v>
      </c>
      <c r="M350" s="42"/>
      <c r="N350" s="244">
        <f>SUM(G336+G347+G348+G350)/2500</f>
        <v>9.5948000000000006E-2</v>
      </c>
      <c r="O350" s="40"/>
      <c r="P350" s="64" t="s">
        <v>309</v>
      </c>
    </row>
    <row r="351" spans="2:16" x14ac:dyDescent="0.3">
      <c r="B351" s="32"/>
      <c r="C351" s="397">
        <v>45792</v>
      </c>
      <c r="D351" s="45" t="s">
        <v>336</v>
      </c>
      <c r="E351" s="121">
        <v>31.2</v>
      </c>
      <c r="F351" s="79" t="s">
        <v>281</v>
      </c>
      <c r="G351" s="29">
        <v>250</v>
      </c>
      <c r="H351" s="29">
        <v>0</v>
      </c>
      <c r="I351" s="239">
        <f t="shared" si="18"/>
        <v>250</v>
      </c>
      <c r="J351" s="43" t="s">
        <v>269</v>
      </c>
      <c r="K351" s="147">
        <v>45792</v>
      </c>
      <c r="L351" s="42">
        <v>17</v>
      </c>
      <c r="M351" s="42"/>
      <c r="N351" s="244">
        <f>SUM(G351)/3050</f>
        <v>8.1967213114754092E-2</v>
      </c>
      <c r="O351" s="67"/>
      <c r="P351" s="64" t="s">
        <v>240</v>
      </c>
    </row>
    <row r="352" spans="2:16" x14ac:dyDescent="0.3">
      <c r="B352" s="32"/>
      <c r="C352" s="397">
        <v>45792</v>
      </c>
      <c r="D352" s="45" t="s">
        <v>338</v>
      </c>
      <c r="E352" s="121">
        <v>31.2</v>
      </c>
      <c r="F352" s="79" t="s">
        <v>339</v>
      </c>
      <c r="G352" s="29">
        <v>400</v>
      </c>
      <c r="H352" s="29">
        <v>0</v>
      </c>
      <c r="I352" s="239">
        <f t="shared" si="18"/>
        <v>400</v>
      </c>
      <c r="J352" s="43" t="s">
        <v>269</v>
      </c>
      <c r="K352" s="147">
        <v>45792</v>
      </c>
      <c r="L352" s="42">
        <v>17</v>
      </c>
      <c r="M352" s="42"/>
      <c r="N352" s="244">
        <f>SUM(G351+G352)/3050</f>
        <v>0.21311475409836064</v>
      </c>
      <c r="O352" s="67"/>
      <c r="P352" s="64" t="s">
        <v>310</v>
      </c>
    </row>
    <row r="353" spans="2:16" x14ac:dyDescent="0.3">
      <c r="B353" s="32"/>
      <c r="C353" s="397">
        <v>45798</v>
      </c>
      <c r="D353" s="45" t="s">
        <v>340</v>
      </c>
      <c r="E353" s="121">
        <v>31.2</v>
      </c>
      <c r="F353" s="79" t="s">
        <v>403</v>
      </c>
      <c r="G353" s="29">
        <v>5</v>
      </c>
      <c r="H353" s="29">
        <v>0</v>
      </c>
      <c r="I353" s="239">
        <f t="shared" si="18"/>
        <v>5</v>
      </c>
      <c r="J353" s="43" t="s">
        <v>270</v>
      </c>
      <c r="K353" s="147">
        <v>45792</v>
      </c>
      <c r="L353" s="42">
        <v>34</v>
      </c>
      <c r="M353" s="42"/>
      <c r="N353" s="244">
        <f>SUM(G342+G353)/100</f>
        <v>0.1</v>
      </c>
      <c r="O353" s="40"/>
      <c r="P353" s="64" t="s">
        <v>511</v>
      </c>
    </row>
    <row r="354" spans="2:16" x14ac:dyDescent="0.3">
      <c r="B354" s="32"/>
      <c r="C354" s="397">
        <v>45805</v>
      </c>
      <c r="D354" s="45" t="s">
        <v>341</v>
      </c>
      <c r="E354" s="121">
        <v>31.2</v>
      </c>
      <c r="F354" s="79" t="s">
        <v>277</v>
      </c>
      <c r="G354" s="29">
        <v>1014.94</v>
      </c>
      <c r="H354" s="29">
        <v>0</v>
      </c>
      <c r="I354" s="239">
        <f t="shared" si="18"/>
        <v>1014.94</v>
      </c>
      <c r="J354" s="43" t="s">
        <v>260</v>
      </c>
      <c r="K354" s="147">
        <v>45805</v>
      </c>
      <c r="L354" s="42">
        <v>1</v>
      </c>
      <c r="M354" s="42"/>
      <c r="N354" s="244">
        <f>SUM(G343+G354)/12788.25</f>
        <v>0.15873008425703283</v>
      </c>
      <c r="O354" s="40"/>
      <c r="P354" s="64" t="s">
        <v>520</v>
      </c>
    </row>
    <row r="355" spans="2:16" x14ac:dyDescent="0.3">
      <c r="B355" s="32"/>
      <c r="C355" s="397">
        <v>45805</v>
      </c>
      <c r="D355" s="45" t="s">
        <v>342</v>
      </c>
      <c r="E355" s="121">
        <v>31.2</v>
      </c>
      <c r="F355" s="79" t="s">
        <v>280</v>
      </c>
      <c r="G355" s="29">
        <v>26</v>
      </c>
      <c r="H355" s="29">
        <v>0</v>
      </c>
      <c r="I355" s="239">
        <f t="shared" si="18"/>
        <v>26</v>
      </c>
      <c r="J355" s="43" t="s">
        <v>260</v>
      </c>
      <c r="K355" s="147">
        <v>45440</v>
      </c>
      <c r="L355" s="42">
        <v>3</v>
      </c>
      <c r="M355" s="42"/>
      <c r="N355" s="244">
        <f>SUM(G344+G355)/312</f>
        <v>0.16666666666666666</v>
      </c>
      <c r="O355" s="40"/>
      <c r="P355" s="64" t="s">
        <v>312</v>
      </c>
    </row>
    <row r="356" spans="2:16" ht="12.9" customHeight="1" x14ac:dyDescent="0.3">
      <c r="B356" s="72"/>
      <c r="C356" s="398">
        <v>45792</v>
      </c>
      <c r="D356" s="41" t="s">
        <v>343</v>
      </c>
      <c r="E356" s="124">
        <v>53.2</v>
      </c>
      <c r="F356" s="159" t="s">
        <v>344</v>
      </c>
      <c r="G356" s="92">
        <v>36.159999999999997</v>
      </c>
      <c r="H356" s="92">
        <v>1.81</v>
      </c>
      <c r="I356" s="286">
        <f t="shared" si="18"/>
        <v>37.97</v>
      </c>
      <c r="J356" s="77" t="s">
        <v>269</v>
      </c>
      <c r="K356" s="148">
        <v>45792</v>
      </c>
      <c r="L356" s="93">
        <v>22</v>
      </c>
      <c r="M356" s="140"/>
      <c r="N356" s="287">
        <f>SUM(G336+G347+G348+G350+G356)/2500</f>
        <v>0.11041199999999998</v>
      </c>
      <c r="O356" s="40"/>
      <c r="P356" s="64" t="s">
        <v>268</v>
      </c>
    </row>
    <row r="357" spans="2:16" ht="13.5" thickBot="1" x14ac:dyDescent="0.35">
      <c r="B357" s="34"/>
      <c r="C357" s="68"/>
      <c r="D357" s="60"/>
      <c r="E357" s="122"/>
      <c r="F357" s="35"/>
      <c r="G357" s="230">
        <f>SUM(G347:G356)</f>
        <v>1937.13</v>
      </c>
      <c r="H357" s="230">
        <f>SUM(H347:H356)</f>
        <v>30.27</v>
      </c>
      <c r="I357" s="230">
        <f>SUM(I347:I356)</f>
        <v>1967.4</v>
      </c>
      <c r="J357" s="69"/>
      <c r="K357" s="68"/>
      <c r="L357" s="61"/>
      <c r="M357" s="138"/>
      <c r="N357" s="62"/>
      <c r="O357" s="40"/>
      <c r="P357" s="266" t="s">
        <v>313</v>
      </c>
    </row>
    <row r="358" spans="2:16" ht="26.5" thickBot="1" x14ac:dyDescent="0.35">
      <c r="B358" s="179"/>
      <c r="C358" s="210" t="s">
        <v>263</v>
      </c>
      <c r="D358" s="181" t="s">
        <v>1</v>
      </c>
      <c r="E358" s="182" t="s">
        <v>244</v>
      </c>
      <c r="F358" s="180" t="s">
        <v>243</v>
      </c>
      <c r="G358" s="183" t="s">
        <v>229</v>
      </c>
      <c r="H358" s="183" t="s">
        <v>222</v>
      </c>
      <c r="I358" s="183" t="s">
        <v>230</v>
      </c>
      <c r="J358" s="202" t="s">
        <v>262</v>
      </c>
      <c r="K358" s="184" t="s">
        <v>231</v>
      </c>
      <c r="L358" s="183" t="s">
        <v>238</v>
      </c>
      <c r="M358" s="185" t="s">
        <v>259</v>
      </c>
      <c r="N358" s="349" t="s">
        <v>249</v>
      </c>
      <c r="O358" s="40"/>
      <c r="P358" s="64" t="s">
        <v>241</v>
      </c>
    </row>
    <row r="359" spans="2:16" x14ac:dyDescent="0.3">
      <c r="B359" s="95">
        <v>45809</v>
      </c>
      <c r="C359" s="394">
        <v>45814</v>
      </c>
      <c r="D359" s="109" t="s">
        <v>347</v>
      </c>
      <c r="E359" s="123">
        <v>53.2</v>
      </c>
      <c r="F359" s="257" t="s">
        <v>348</v>
      </c>
      <c r="G359" s="52">
        <v>32.950000000000003</v>
      </c>
      <c r="H359" s="52">
        <v>6.59</v>
      </c>
      <c r="I359" s="52">
        <f>G359+H359</f>
        <v>39.540000000000006</v>
      </c>
      <c r="J359" s="194" t="s">
        <v>287</v>
      </c>
      <c r="K359" s="258">
        <v>45812</v>
      </c>
      <c r="L359" s="193">
        <v>22</v>
      </c>
      <c r="M359" s="243"/>
      <c r="N359" s="211">
        <f>SUM(G336+G347+G348+G350+G356+G359)/2500</f>
        <v>0.12359199999999998</v>
      </c>
      <c r="O359" s="40"/>
      <c r="P359" s="64" t="s">
        <v>314</v>
      </c>
    </row>
    <row r="360" spans="2:16" x14ac:dyDescent="0.3">
      <c r="B360" s="32"/>
      <c r="C360" s="394">
        <v>45819</v>
      </c>
      <c r="D360" s="109" t="s">
        <v>349</v>
      </c>
      <c r="E360" s="123">
        <v>53.2</v>
      </c>
      <c r="F360" s="114" t="s">
        <v>371</v>
      </c>
      <c r="G360" s="47">
        <v>1556.7</v>
      </c>
      <c r="H360" s="47">
        <v>311.33999999999997</v>
      </c>
      <c r="I360" s="52">
        <f t="shared" ref="I360:I378" si="19">G360+H360</f>
        <v>1868.04</v>
      </c>
      <c r="J360" s="194" t="s">
        <v>269</v>
      </c>
      <c r="K360" s="258">
        <v>45819</v>
      </c>
      <c r="L360" s="42">
        <v>19</v>
      </c>
      <c r="M360" s="136"/>
      <c r="N360" s="59">
        <f>SUM(G360)/3926.7</f>
        <v>0.39643975857590347</v>
      </c>
      <c r="O360" s="40"/>
      <c r="P360" s="64" t="s">
        <v>242</v>
      </c>
    </row>
    <row r="361" spans="2:16" x14ac:dyDescent="0.3">
      <c r="B361" s="32"/>
      <c r="C361" s="394">
        <v>45827</v>
      </c>
      <c r="D361" s="109" t="s">
        <v>350</v>
      </c>
      <c r="E361" s="123">
        <v>53.2</v>
      </c>
      <c r="F361" s="114" t="s">
        <v>364</v>
      </c>
      <c r="G361" s="47">
        <v>113.75</v>
      </c>
      <c r="H361" s="47">
        <v>22.75</v>
      </c>
      <c r="I361" s="52">
        <f t="shared" si="19"/>
        <v>136.5</v>
      </c>
      <c r="J361" s="194" t="s">
        <v>269</v>
      </c>
      <c r="K361" s="258">
        <v>45827</v>
      </c>
      <c r="L361" s="93">
        <v>8</v>
      </c>
      <c r="M361" s="137"/>
      <c r="N361" s="78">
        <f>SUM(G361)/440</f>
        <v>0.25852272727272729</v>
      </c>
      <c r="O361" s="40"/>
      <c r="P361" s="64" t="s">
        <v>272</v>
      </c>
    </row>
    <row r="362" spans="2:16" x14ac:dyDescent="0.3">
      <c r="B362" s="32"/>
      <c r="C362" s="394">
        <v>45827</v>
      </c>
      <c r="D362" s="109" t="s">
        <v>351</v>
      </c>
      <c r="E362" s="123">
        <v>53.2</v>
      </c>
      <c r="F362" s="114" t="s">
        <v>363</v>
      </c>
      <c r="G362" s="47">
        <v>1120</v>
      </c>
      <c r="H362" s="47">
        <v>0</v>
      </c>
      <c r="I362" s="52">
        <f t="shared" si="19"/>
        <v>1120</v>
      </c>
      <c r="J362" s="194" t="s">
        <v>269</v>
      </c>
      <c r="K362" s="258">
        <v>45827</v>
      </c>
      <c r="L362" s="93">
        <v>19</v>
      </c>
      <c r="M362" s="137"/>
      <c r="N362" s="78">
        <f>SUM(G360+G362)/3926.7</f>
        <v>0.68166653933328236</v>
      </c>
      <c r="O362" s="40"/>
      <c r="P362" s="64" t="s">
        <v>315</v>
      </c>
    </row>
    <row r="363" spans="2:16" x14ac:dyDescent="0.3">
      <c r="B363" s="32"/>
      <c r="C363" s="394">
        <v>45827</v>
      </c>
      <c r="D363" s="109" t="s">
        <v>352</v>
      </c>
      <c r="E363" s="123">
        <v>53.2</v>
      </c>
      <c r="F363" s="114" t="s">
        <v>365</v>
      </c>
      <c r="G363" s="47">
        <v>98.42</v>
      </c>
      <c r="H363" s="47">
        <v>19.68</v>
      </c>
      <c r="I363" s="52">
        <f t="shared" si="19"/>
        <v>118.1</v>
      </c>
      <c r="J363" s="194" t="s">
        <v>269</v>
      </c>
      <c r="K363" s="258">
        <v>45827</v>
      </c>
      <c r="L363" s="93">
        <v>8</v>
      </c>
      <c r="M363" s="137"/>
      <c r="N363" s="78">
        <f>SUM(G361+G363)/440</f>
        <v>0.4822045454545455</v>
      </c>
      <c r="O363" s="40"/>
      <c r="P363" s="64" t="s">
        <v>320</v>
      </c>
    </row>
    <row r="364" spans="2:16" x14ac:dyDescent="0.3">
      <c r="B364" s="32"/>
      <c r="C364" s="394">
        <v>45827</v>
      </c>
      <c r="D364" s="109" t="s">
        <v>353</v>
      </c>
      <c r="E364" s="123">
        <v>53.2</v>
      </c>
      <c r="F364" s="79" t="s">
        <v>412</v>
      </c>
      <c r="G364" s="29">
        <v>300</v>
      </c>
      <c r="H364" s="29">
        <v>0</v>
      </c>
      <c r="I364" s="52">
        <f t="shared" si="19"/>
        <v>300</v>
      </c>
      <c r="J364" s="194" t="s">
        <v>269</v>
      </c>
      <c r="K364" s="258">
        <v>45827</v>
      </c>
      <c r="L364" s="77">
        <v>17</v>
      </c>
      <c r="M364" s="137"/>
      <c r="N364" s="78">
        <f>SUM(G351+G352+G364)/3050</f>
        <v>0.31147540983606559</v>
      </c>
      <c r="O364" s="40"/>
      <c r="P364" s="64" t="s">
        <v>316</v>
      </c>
    </row>
    <row r="365" spans="2:16" x14ac:dyDescent="0.3">
      <c r="B365" s="32"/>
      <c r="C365" s="394">
        <v>45827</v>
      </c>
      <c r="D365" s="109" t="s">
        <v>354</v>
      </c>
      <c r="E365" s="123">
        <v>53.2</v>
      </c>
      <c r="F365" s="79" t="s">
        <v>366</v>
      </c>
      <c r="G365" s="29">
        <v>600</v>
      </c>
      <c r="H365" s="29">
        <v>0</v>
      </c>
      <c r="I365" s="52">
        <f t="shared" si="19"/>
        <v>600</v>
      </c>
      <c r="J365" s="194" t="s">
        <v>269</v>
      </c>
      <c r="K365" s="258">
        <v>45827</v>
      </c>
      <c r="L365" s="93">
        <v>19</v>
      </c>
      <c r="M365" s="137"/>
      <c r="N365" s="78">
        <f>SUM(G360+G362+G365)/3926.7</f>
        <v>0.83446660045330689</v>
      </c>
      <c r="O365" s="67"/>
      <c r="P365" s="64" t="s">
        <v>574</v>
      </c>
    </row>
    <row r="366" spans="2:16" x14ac:dyDescent="0.3">
      <c r="B366" s="72"/>
      <c r="C366" s="394">
        <v>45827</v>
      </c>
      <c r="D366" s="109" t="s">
        <v>355</v>
      </c>
      <c r="E366" s="123">
        <v>53.2</v>
      </c>
      <c r="F366" s="79" t="s">
        <v>284</v>
      </c>
      <c r="G366" s="29">
        <v>51.25</v>
      </c>
      <c r="H366" s="29">
        <v>10.25</v>
      </c>
      <c r="I366" s="52">
        <f t="shared" si="19"/>
        <v>61.5</v>
      </c>
      <c r="J366" s="194" t="s">
        <v>269</v>
      </c>
      <c r="K366" s="258">
        <v>45827</v>
      </c>
      <c r="L366" s="93">
        <v>22</v>
      </c>
      <c r="M366" s="137"/>
      <c r="N366" s="78">
        <f>SUM(G336+G347+G348+G350+G356+G359+G366)/2500</f>
        <v>0.144092</v>
      </c>
      <c r="O366" s="40"/>
      <c r="P366" s="64" t="s">
        <v>258</v>
      </c>
    </row>
    <row r="367" spans="2:16" x14ac:dyDescent="0.3">
      <c r="B367" s="72"/>
      <c r="C367" s="394">
        <v>45827</v>
      </c>
      <c r="D367" s="109" t="s">
        <v>356</v>
      </c>
      <c r="E367" s="123">
        <v>53.2</v>
      </c>
      <c r="F367" s="79" t="s">
        <v>369</v>
      </c>
      <c r="G367" s="29">
        <v>51.81</v>
      </c>
      <c r="H367" s="29">
        <v>2.59</v>
      </c>
      <c r="I367" s="52">
        <f t="shared" si="19"/>
        <v>54.400000000000006</v>
      </c>
      <c r="J367" s="194" t="s">
        <v>269</v>
      </c>
      <c r="K367" s="258">
        <v>45827</v>
      </c>
      <c r="L367" s="93">
        <v>22</v>
      </c>
      <c r="M367" s="137"/>
      <c r="N367" s="78">
        <f>SUM(G336+G347+G348+G350+G356+G359+G366+G367)/2500</f>
        <v>0.16481599999999999</v>
      </c>
      <c r="O367" s="40"/>
      <c r="P367" s="64" t="s">
        <v>317</v>
      </c>
    </row>
    <row r="368" spans="2:16" x14ac:dyDescent="0.3">
      <c r="B368" s="72"/>
      <c r="C368" s="394">
        <v>45827</v>
      </c>
      <c r="D368" s="109" t="s">
        <v>357</v>
      </c>
      <c r="E368" s="123">
        <v>53.2</v>
      </c>
      <c r="F368" s="79" t="s">
        <v>285</v>
      </c>
      <c r="G368" s="29">
        <v>108.6</v>
      </c>
      <c r="H368" s="29">
        <v>21.72</v>
      </c>
      <c r="I368" s="52">
        <f t="shared" si="19"/>
        <v>130.32</v>
      </c>
      <c r="J368" s="194" t="s">
        <v>269</v>
      </c>
      <c r="K368" s="258">
        <v>45827</v>
      </c>
      <c r="L368" s="93">
        <v>22</v>
      </c>
      <c r="M368" s="137"/>
      <c r="N368" s="78">
        <f>SUM(G336+G347+G348+G350+G356+G359+G366+G367+G368)/2500</f>
        <v>0.208256</v>
      </c>
      <c r="O368" s="40"/>
      <c r="P368" s="64" t="s">
        <v>321</v>
      </c>
    </row>
    <row r="369" spans="2:16" x14ac:dyDescent="0.3">
      <c r="B369" s="72"/>
      <c r="C369" s="394">
        <v>45827</v>
      </c>
      <c r="D369" s="109" t="s">
        <v>358</v>
      </c>
      <c r="E369" s="123">
        <v>53.2</v>
      </c>
      <c r="F369" s="79" t="s">
        <v>367</v>
      </c>
      <c r="G369" s="29">
        <v>208</v>
      </c>
      <c r="H369" s="29">
        <v>0</v>
      </c>
      <c r="I369" s="52">
        <f t="shared" si="19"/>
        <v>208</v>
      </c>
      <c r="J369" s="194" t="s">
        <v>269</v>
      </c>
      <c r="K369" s="258">
        <v>45827</v>
      </c>
      <c r="L369" s="93">
        <v>27</v>
      </c>
      <c r="M369" s="137"/>
      <c r="N369" s="259">
        <f>SUM(G369)/416</f>
        <v>0.5</v>
      </c>
      <c r="O369" s="40"/>
      <c r="P369" s="281" t="s">
        <v>261</v>
      </c>
    </row>
    <row r="370" spans="2:16" ht="13.5" thickBot="1" x14ac:dyDescent="0.35">
      <c r="B370" s="72"/>
      <c r="C370" s="394">
        <v>45827</v>
      </c>
      <c r="D370" s="109" t="s">
        <v>359</v>
      </c>
      <c r="E370" s="123">
        <v>53.2</v>
      </c>
      <c r="F370" s="159" t="s">
        <v>368</v>
      </c>
      <c r="G370" s="29">
        <v>208</v>
      </c>
      <c r="H370" s="29">
        <v>0</v>
      </c>
      <c r="I370" s="52">
        <f t="shared" si="19"/>
        <v>208</v>
      </c>
      <c r="J370" s="194" t="s">
        <v>269</v>
      </c>
      <c r="K370" s="258">
        <v>45827</v>
      </c>
      <c r="L370" s="93">
        <v>27</v>
      </c>
      <c r="M370" s="137"/>
      <c r="N370" s="259">
        <f>SUM(G369+G370)/416</f>
        <v>1</v>
      </c>
      <c r="O370" s="40"/>
      <c r="P370" s="65" t="s">
        <v>318</v>
      </c>
    </row>
    <row r="371" spans="2:16" x14ac:dyDescent="0.3">
      <c r="B371" s="72"/>
      <c r="C371" s="394">
        <v>45829</v>
      </c>
      <c r="D371" s="109" t="s">
        <v>360</v>
      </c>
      <c r="E371" s="123">
        <v>53.2</v>
      </c>
      <c r="F371" s="159" t="s">
        <v>404</v>
      </c>
      <c r="G371" s="29">
        <v>5.8</v>
      </c>
      <c r="H371" s="29">
        <v>0</v>
      </c>
      <c r="I371" s="52">
        <f t="shared" si="19"/>
        <v>5.8</v>
      </c>
      <c r="J371" s="195" t="s">
        <v>270</v>
      </c>
      <c r="K371" s="147">
        <v>45829</v>
      </c>
      <c r="L371" s="77">
        <v>34</v>
      </c>
      <c r="M371" s="137"/>
      <c r="N371" s="78">
        <f>SUM(G342+G353+G371)/100</f>
        <v>0.158</v>
      </c>
      <c r="O371" s="40"/>
      <c r="P371" s="11"/>
    </row>
    <row r="372" spans="2:16" x14ac:dyDescent="0.3">
      <c r="B372" s="72"/>
      <c r="C372" s="394">
        <v>45825</v>
      </c>
      <c r="D372" s="109" t="s">
        <v>361</v>
      </c>
      <c r="E372" s="123">
        <v>53.2</v>
      </c>
      <c r="F372" s="114" t="s">
        <v>379</v>
      </c>
      <c r="G372" s="47">
        <v>8313</v>
      </c>
      <c r="H372" s="47">
        <v>1662.6</v>
      </c>
      <c r="I372" s="52">
        <f t="shared" ref="I372" si="20">G372+H372</f>
        <v>9975.6</v>
      </c>
      <c r="J372" s="194" t="s">
        <v>286</v>
      </c>
      <c r="K372" s="360">
        <v>45845</v>
      </c>
      <c r="L372" s="93">
        <v>29</v>
      </c>
      <c r="M372" s="137"/>
      <c r="N372" s="78">
        <f>G372/12312.5</f>
        <v>0.67516751269035535</v>
      </c>
      <c r="O372" s="40"/>
    </row>
    <row r="373" spans="2:16" x14ac:dyDescent="0.3">
      <c r="B373" s="72"/>
      <c r="C373" s="394">
        <v>45838</v>
      </c>
      <c r="D373" s="109" t="s">
        <v>362</v>
      </c>
      <c r="E373" s="123">
        <v>53.2</v>
      </c>
      <c r="F373" s="159" t="s">
        <v>282</v>
      </c>
      <c r="G373" s="29">
        <v>1014.94</v>
      </c>
      <c r="H373" s="29">
        <v>0</v>
      </c>
      <c r="I373" s="52">
        <f t="shared" si="19"/>
        <v>1014.94</v>
      </c>
      <c r="J373" s="195" t="s">
        <v>260</v>
      </c>
      <c r="K373" s="148">
        <v>45838</v>
      </c>
      <c r="L373" s="77">
        <v>1</v>
      </c>
      <c r="M373" s="218"/>
      <c r="N373" s="78">
        <f>SUM(G343+G354+G373)/12788.25</f>
        <v>0.23809512638554925</v>
      </c>
      <c r="O373" s="40"/>
    </row>
    <row r="374" spans="2:16" x14ac:dyDescent="0.3">
      <c r="B374" s="72"/>
      <c r="C374" s="394">
        <v>45838</v>
      </c>
      <c r="D374" s="109" t="s">
        <v>370</v>
      </c>
      <c r="E374" s="123">
        <v>53.2</v>
      </c>
      <c r="F374" s="79" t="s">
        <v>283</v>
      </c>
      <c r="G374" s="29">
        <v>26</v>
      </c>
      <c r="H374" s="29">
        <v>0</v>
      </c>
      <c r="I374" s="52">
        <f t="shared" si="19"/>
        <v>26</v>
      </c>
      <c r="J374" s="195" t="s">
        <v>260</v>
      </c>
      <c r="K374" s="147">
        <v>45838</v>
      </c>
      <c r="L374" s="42">
        <v>3</v>
      </c>
      <c r="M374" s="43"/>
      <c r="N374" s="59">
        <f>SUM(G344+G355+G374)/312</f>
        <v>0.25</v>
      </c>
      <c r="O374" s="40"/>
      <c r="P374" s="11"/>
    </row>
    <row r="375" spans="2:16" x14ac:dyDescent="0.3">
      <c r="B375" s="72"/>
      <c r="C375" s="394">
        <v>45827</v>
      </c>
      <c r="D375" s="109" t="s">
        <v>380</v>
      </c>
      <c r="E375" s="123">
        <v>53.2</v>
      </c>
      <c r="F375" s="159" t="s">
        <v>405</v>
      </c>
      <c r="G375" s="92">
        <v>70</v>
      </c>
      <c r="H375" s="92">
        <v>0</v>
      </c>
      <c r="I375" s="339">
        <f t="shared" si="19"/>
        <v>70</v>
      </c>
      <c r="J375" s="196" t="s">
        <v>269</v>
      </c>
      <c r="K375" s="148">
        <v>45827</v>
      </c>
      <c r="L375" s="93">
        <v>15</v>
      </c>
      <c r="M375" s="137"/>
      <c r="N375" s="78">
        <f>SUM(G375)/1380</f>
        <v>5.0724637681159424E-2</v>
      </c>
      <c r="O375" s="40"/>
      <c r="P375" s="11"/>
    </row>
    <row r="376" spans="2:16" x14ac:dyDescent="0.3">
      <c r="B376" s="72"/>
      <c r="C376" s="394">
        <v>45827</v>
      </c>
      <c r="D376" s="109" t="s">
        <v>382</v>
      </c>
      <c r="E376" s="123">
        <v>53.7</v>
      </c>
      <c r="F376" s="159" t="s">
        <v>385</v>
      </c>
      <c r="G376" s="92">
        <v>100</v>
      </c>
      <c r="H376" s="92">
        <v>0</v>
      </c>
      <c r="I376" s="29">
        <f t="shared" si="19"/>
        <v>100</v>
      </c>
      <c r="J376" s="196" t="s">
        <v>269</v>
      </c>
      <c r="K376" s="148">
        <v>45827</v>
      </c>
      <c r="L376" s="93">
        <v>26</v>
      </c>
      <c r="M376" s="307" t="s">
        <v>548</v>
      </c>
      <c r="N376" s="78">
        <f>SUM(G376)/500</f>
        <v>0.2</v>
      </c>
      <c r="O376" s="40"/>
      <c r="P376" s="11"/>
    </row>
    <row r="377" spans="2:16" x14ac:dyDescent="0.3">
      <c r="B377" s="72"/>
      <c r="C377" s="394">
        <v>45834</v>
      </c>
      <c r="D377" s="109" t="s">
        <v>383</v>
      </c>
      <c r="E377" s="123">
        <v>53.7</v>
      </c>
      <c r="F377" s="159" t="s">
        <v>387</v>
      </c>
      <c r="G377" s="92">
        <v>150</v>
      </c>
      <c r="H377" s="92">
        <v>0</v>
      </c>
      <c r="I377" s="29">
        <f t="shared" si="19"/>
        <v>150</v>
      </c>
      <c r="J377" s="196" t="s">
        <v>269</v>
      </c>
      <c r="K377" s="343">
        <v>45834</v>
      </c>
      <c r="L377" s="93">
        <v>26</v>
      </c>
      <c r="M377" s="307" t="s">
        <v>548</v>
      </c>
      <c r="N377" s="78">
        <f>SUM(G376+G377)/500</f>
        <v>0.5</v>
      </c>
      <c r="O377" s="40"/>
      <c r="P377" s="11"/>
    </row>
    <row r="378" spans="2:16" x14ac:dyDescent="0.3">
      <c r="B378" s="72"/>
      <c r="C378" s="394">
        <v>45834</v>
      </c>
      <c r="D378" s="109" t="s">
        <v>384</v>
      </c>
      <c r="E378" s="123"/>
      <c r="F378" s="159" t="s">
        <v>406</v>
      </c>
      <c r="G378" s="92">
        <v>35</v>
      </c>
      <c r="H378" s="92">
        <v>0</v>
      </c>
      <c r="I378" s="29">
        <f t="shared" si="19"/>
        <v>35</v>
      </c>
      <c r="J378" s="196" t="s">
        <v>269</v>
      </c>
      <c r="K378" s="148">
        <v>45834</v>
      </c>
      <c r="L378" s="93">
        <v>15</v>
      </c>
      <c r="M378" s="137"/>
      <c r="N378" s="78">
        <f>SUM(G375+G378)/1380</f>
        <v>7.6086956521739135E-2</v>
      </c>
      <c r="O378" s="40"/>
      <c r="P378" s="11"/>
    </row>
    <row r="379" spans="2:16" ht="13.5" thickBot="1" x14ac:dyDescent="0.35">
      <c r="B379" s="72"/>
      <c r="C379" s="97"/>
      <c r="D379" s="109"/>
      <c r="E379" s="123"/>
      <c r="F379" s="74"/>
      <c r="G379" s="178">
        <f>SUM(G359:G378)</f>
        <v>14164.22</v>
      </c>
      <c r="H379" s="178">
        <f>SUM(H359:H378)</f>
        <v>2057.52</v>
      </c>
      <c r="I379" s="178">
        <f>SUM(I359:I378)</f>
        <v>16221.74</v>
      </c>
      <c r="J379" s="76"/>
      <c r="K379" s="71"/>
      <c r="L379" s="77"/>
      <c r="M379" s="137"/>
      <c r="N379" s="78"/>
      <c r="O379" s="67"/>
      <c r="P379" s="222"/>
    </row>
    <row r="380" spans="2:16" ht="26.5" thickBot="1" x14ac:dyDescent="0.35">
      <c r="B380" s="248"/>
      <c r="C380" s="210" t="s">
        <v>263</v>
      </c>
      <c r="D380" s="181" t="s">
        <v>1</v>
      </c>
      <c r="E380" s="182" t="s">
        <v>244</v>
      </c>
      <c r="F380" s="180" t="s">
        <v>243</v>
      </c>
      <c r="G380" s="183" t="s">
        <v>229</v>
      </c>
      <c r="H380" s="183" t="s">
        <v>222</v>
      </c>
      <c r="I380" s="183" t="s">
        <v>230</v>
      </c>
      <c r="J380" s="202" t="s">
        <v>262</v>
      </c>
      <c r="K380" s="184" t="s">
        <v>231</v>
      </c>
      <c r="L380" s="183" t="s">
        <v>238</v>
      </c>
      <c r="M380" s="185" t="s">
        <v>259</v>
      </c>
      <c r="N380" s="349" t="s">
        <v>249</v>
      </c>
      <c r="O380" s="40"/>
    </row>
    <row r="381" spans="2:16" x14ac:dyDescent="0.3">
      <c r="B381" s="247">
        <v>45839</v>
      </c>
      <c r="C381" s="394">
        <v>45842</v>
      </c>
      <c r="D381" s="109" t="s">
        <v>389</v>
      </c>
      <c r="E381" s="123">
        <v>74.2</v>
      </c>
      <c r="F381" s="96" t="s">
        <v>388</v>
      </c>
      <c r="G381" s="52">
        <v>32.950000000000003</v>
      </c>
      <c r="H381" s="52">
        <v>6.59</v>
      </c>
      <c r="I381" s="52">
        <f>G381+H381</f>
        <v>39.540000000000006</v>
      </c>
      <c r="J381" s="194" t="s">
        <v>287</v>
      </c>
      <c r="K381" s="258">
        <v>45842</v>
      </c>
      <c r="L381" s="111">
        <v>22</v>
      </c>
      <c r="M381" s="294"/>
      <c r="N381" s="211">
        <f>SUM(G336+G347+G348+G350+G356+G359+G366+G367+G368+G381)/2500</f>
        <v>0.22143600000000002</v>
      </c>
      <c r="O381" s="40"/>
      <c r="P381" s="359"/>
    </row>
    <row r="382" spans="2:16" x14ac:dyDescent="0.3">
      <c r="B382" s="70"/>
      <c r="C382" s="394">
        <v>45847</v>
      </c>
      <c r="D382" s="109" t="s">
        <v>390</v>
      </c>
      <c r="E382" s="123">
        <v>74.2</v>
      </c>
      <c r="F382" s="46" t="s">
        <v>394</v>
      </c>
      <c r="G382" s="47">
        <v>120</v>
      </c>
      <c r="H382" s="47">
        <v>24</v>
      </c>
      <c r="I382" s="52">
        <f>G382+H382</f>
        <v>144</v>
      </c>
      <c r="J382" s="195" t="s">
        <v>269</v>
      </c>
      <c r="K382" s="258">
        <v>45847</v>
      </c>
      <c r="L382" s="30">
        <v>5</v>
      </c>
      <c r="M382" s="294"/>
      <c r="N382" s="59">
        <f>G382/200</f>
        <v>0.6</v>
      </c>
      <c r="O382" s="40"/>
      <c r="P382" s="359"/>
    </row>
    <row r="383" spans="2:16" x14ac:dyDescent="0.3">
      <c r="B383" s="70"/>
      <c r="C383" s="394">
        <v>45847</v>
      </c>
      <c r="D383" s="109" t="s">
        <v>391</v>
      </c>
      <c r="E383" s="123">
        <v>74.2</v>
      </c>
      <c r="F383" s="27" t="s">
        <v>396</v>
      </c>
      <c r="G383" s="29">
        <v>269.07</v>
      </c>
      <c r="H383" s="29">
        <v>0</v>
      </c>
      <c r="I383" s="52">
        <f>G383+H383</f>
        <v>269.07</v>
      </c>
      <c r="J383" s="195" t="s">
        <v>269</v>
      </c>
      <c r="K383" s="258">
        <v>45847</v>
      </c>
      <c r="L383" s="42">
        <v>2</v>
      </c>
      <c r="M383" s="136"/>
      <c r="N383" s="59">
        <f>SUM(G338+G383)/1292.52</f>
        <v>0.29047906415374619</v>
      </c>
      <c r="O383" s="40"/>
      <c r="P383" s="359"/>
    </row>
    <row r="384" spans="2:16" x14ac:dyDescent="0.3">
      <c r="B384" s="70"/>
      <c r="C384" s="394">
        <v>45847</v>
      </c>
      <c r="D384" s="109" t="s">
        <v>392</v>
      </c>
      <c r="E384" s="123">
        <v>74.2</v>
      </c>
      <c r="F384" s="27" t="s">
        <v>397</v>
      </c>
      <c r="G384" s="29">
        <v>51.25</v>
      </c>
      <c r="H384" s="29">
        <v>10.25</v>
      </c>
      <c r="I384" s="52">
        <f>G384+H384</f>
        <v>61.5</v>
      </c>
      <c r="J384" s="195" t="s">
        <v>269</v>
      </c>
      <c r="K384" s="258">
        <v>45847</v>
      </c>
      <c r="L384" s="42">
        <v>22</v>
      </c>
      <c r="M384" s="136"/>
      <c r="N384" s="59">
        <f>SUM(G336+G347+G348+G350+G356+G359+G366+G367+G368+G381+G384)/2500</f>
        <v>0.24193600000000001</v>
      </c>
      <c r="O384" s="40"/>
      <c r="P384" s="359"/>
    </row>
    <row r="385" spans="2:16" x14ac:dyDescent="0.3">
      <c r="B385" s="70"/>
      <c r="C385" s="394">
        <v>45859</v>
      </c>
      <c r="D385" s="109" t="s">
        <v>393</v>
      </c>
      <c r="E385" s="123">
        <v>74.2</v>
      </c>
      <c r="F385" s="74" t="s">
        <v>407</v>
      </c>
      <c r="G385" s="29">
        <v>5</v>
      </c>
      <c r="H385" s="29">
        <v>0</v>
      </c>
      <c r="I385" s="52">
        <f>G385+H385</f>
        <v>5</v>
      </c>
      <c r="J385" s="195" t="s">
        <v>270</v>
      </c>
      <c r="K385" s="258">
        <v>45859</v>
      </c>
      <c r="L385" s="42">
        <v>34</v>
      </c>
      <c r="M385" s="136"/>
      <c r="N385" s="59">
        <f>SUM(G342+G353+G371+G385)/100</f>
        <v>0.20800000000000002</v>
      </c>
      <c r="O385" s="40"/>
      <c r="P385" s="359"/>
    </row>
    <row r="386" spans="2:16" x14ac:dyDescent="0.3">
      <c r="B386" s="70"/>
      <c r="C386" s="394">
        <v>45866</v>
      </c>
      <c r="D386" s="109" t="s">
        <v>398</v>
      </c>
      <c r="E386" s="123">
        <v>74.2</v>
      </c>
      <c r="F386" s="159" t="s">
        <v>400</v>
      </c>
      <c r="G386" s="29">
        <v>1014.94</v>
      </c>
      <c r="H386" s="29">
        <v>0</v>
      </c>
      <c r="I386" s="52">
        <f t="shared" ref="I386:I390" si="21">G386+H386</f>
        <v>1014.94</v>
      </c>
      <c r="J386" s="195" t="s">
        <v>260</v>
      </c>
      <c r="K386" s="258">
        <v>45866</v>
      </c>
      <c r="L386" s="42">
        <v>1</v>
      </c>
      <c r="M386" s="136"/>
      <c r="N386" s="59">
        <f>SUM(G343+G354+G373+G386)/12788.25</f>
        <v>0.31746016851406567</v>
      </c>
      <c r="O386" s="40"/>
      <c r="P386" s="359"/>
    </row>
    <row r="387" spans="2:16" x14ac:dyDescent="0.3">
      <c r="B387" s="70"/>
      <c r="C387" s="394">
        <v>45866</v>
      </c>
      <c r="D387" s="109" t="s">
        <v>399</v>
      </c>
      <c r="E387" s="123">
        <v>74.2</v>
      </c>
      <c r="F387" s="79" t="s">
        <v>401</v>
      </c>
      <c r="G387" s="29">
        <v>26</v>
      </c>
      <c r="H387" s="29">
        <v>0</v>
      </c>
      <c r="I387" s="52">
        <f t="shared" si="21"/>
        <v>26</v>
      </c>
      <c r="J387" s="195" t="s">
        <v>260</v>
      </c>
      <c r="K387" s="258">
        <v>45866</v>
      </c>
      <c r="L387" s="42">
        <v>3</v>
      </c>
      <c r="M387" s="136"/>
      <c r="N387" s="59">
        <f>SUM(G344+G355+G374+G387)/312</f>
        <v>0.33333333333333331</v>
      </c>
      <c r="O387" s="40"/>
      <c r="P387" s="359"/>
    </row>
    <row r="388" spans="2:16" x14ac:dyDescent="0.3">
      <c r="B388" s="149"/>
      <c r="C388" s="397">
        <v>45847</v>
      </c>
      <c r="D388" s="109" t="s">
        <v>408</v>
      </c>
      <c r="E388" s="123">
        <v>74.2</v>
      </c>
      <c r="F388" s="79" t="s">
        <v>411</v>
      </c>
      <c r="G388" s="29">
        <v>102.7</v>
      </c>
      <c r="H388" s="29">
        <v>0</v>
      </c>
      <c r="I388" s="29">
        <f t="shared" si="21"/>
        <v>102.7</v>
      </c>
      <c r="J388" s="196" t="s">
        <v>269</v>
      </c>
      <c r="K388" s="147">
        <v>45847</v>
      </c>
      <c r="L388" s="93">
        <v>22</v>
      </c>
      <c r="M388" s="137"/>
      <c r="N388" s="78">
        <f>SUM(G336+G347+G348+G350+G356+G359+G366+G367+G368+G381+G384+G388)/2500</f>
        <v>0.28301600000000005</v>
      </c>
      <c r="O388" s="40"/>
      <c r="P388" s="359"/>
    </row>
    <row r="389" spans="2:16" x14ac:dyDescent="0.3">
      <c r="B389" s="149"/>
      <c r="C389" s="397">
        <v>45847</v>
      </c>
      <c r="D389" s="109" t="s">
        <v>409</v>
      </c>
      <c r="E389" s="123">
        <v>74.2</v>
      </c>
      <c r="F389" s="79" t="s">
        <v>413</v>
      </c>
      <c r="G389" s="29">
        <v>250</v>
      </c>
      <c r="H389" s="29">
        <v>0</v>
      </c>
      <c r="I389" s="29">
        <f t="shared" si="21"/>
        <v>250</v>
      </c>
      <c r="J389" s="196" t="s">
        <v>269</v>
      </c>
      <c r="K389" s="147">
        <v>45847</v>
      </c>
      <c r="L389" s="93">
        <v>17</v>
      </c>
      <c r="M389" s="137"/>
      <c r="N389" s="78">
        <f>SUM(G351+G352+G364+G389)/3050</f>
        <v>0.39344262295081966</v>
      </c>
      <c r="O389" s="40"/>
      <c r="P389" s="359"/>
    </row>
    <row r="390" spans="2:16" x14ac:dyDescent="0.3">
      <c r="B390" s="149"/>
      <c r="C390" s="397">
        <v>45847</v>
      </c>
      <c r="D390" s="109" t="s">
        <v>410</v>
      </c>
      <c r="E390" s="124">
        <v>79.099999999999994</v>
      </c>
      <c r="F390" s="79" t="s">
        <v>424</v>
      </c>
      <c r="G390" s="29">
        <v>42.25</v>
      </c>
      <c r="H390" s="29">
        <v>0</v>
      </c>
      <c r="I390" s="29">
        <f t="shared" si="21"/>
        <v>42.25</v>
      </c>
      <c r="J390" s="196" t="s">
        <v>269</v>
      </c>
      <c r="K390" s="147">
        <v>45847</v>
      </c>
      <c r="L390" s="93">
        <v>15</v>
      </c>
      <c r="M390" s="137"/>
      <c r="N390" s="78">
        <f>SUM(G375+G378+G390)/1380</f>
        <v>0.10670289855072464</v>
      </c>
      <c r="O390" s="40"/>
      <c r="P390" s="359"/>
    </row>
    <row r="391" spans="2:16" ht="13.5" thickBot="1" x14ac:dyDescent="0.35">
      <c r="B391" s="149"/>
      <c r="C391" s="68"/>
      <c r="D391" s="60"/>
      <c r="E391" s="122"/>
      <c r="F391" s="35"/>
      <c r="G391" s="230">
        <f>SUM(G381:G390)</f>
        <v>1914.16</v>
      </c>
      <c r="H391" s="230">
        <f>SUM(H381:H390)</f>
        <v>40.840000000000003</v>
      </c>
      <c r="I391" s="230">
        <f>SUM(I381:I390)</f>
        <v>1955.0000000000002</v>
      </c>
      <c r="J391" s="69"/>
      <c r="K391" s="68"/>
      <c r="L391" s="61"/>
      <c r="M391" s="138"/>
      <c r="N391" s="62"/>
      <c r="O391" s="40"/>
      <c r="P391" s="359"/>
    </row>
    <row r="392" spans="2:16" ht="26.5" thickBot="1" x14ac:dyDescent="0.35">
      <c r="B392" s="179"/>
      <c r="C392" s="210" t="s">
        <v>263</v>
      </c>
      <c r="D392" s="181" t="s">
        <v>1</v>
      </c>
      <c r="E392" s="182" t="s">
        <v>244</v>
      </c>
      <c r="F392" s="180" t="s">
        <v>243</v>
      </c>
      <c r="G392" s="183" t="s">
        <v>229</v>
      </c>
      <c r="H392" s="183" t="s">
        <v>222</v>
      </c>
      <c r="I392" s="183" t="s">
        <v>230</v>
      </c>
      <c r="J392" s="202" t="s">
        <v>262</v>
      </c>
      <c r="K392" s="184" t="s">
        <v>231</v>
      </c>
      <c r="L392" s="183" t="s">
        <v>238</v>
      </c>
      <c r="M392" s="185" t="s">
        <v>259</v>
      </c>
      <c r="N392" s="349" t="s">
        <v>249</v>
      </c>
      <c r="O392" s="40"/>
      <c r="P392" s="359"/>
    </row>
    <row r="393" spans="2:16" x14ac:dyDescent="0.3">
      <c r="B393" s="95">
        <v>45870</v>
      </c>
      <c r="C393" s="394">
        <v>45873</v>
      </c>
      <c r="D393" s="109" t="s">
        <v>414</v>
      </c>
      <c r="E393" s="123">
        <v>93.2</v>
      </c>
      <c r="F393" s="96" t="s">
        <v>442</v>
      </c>
      <c r="G393" s="52">
        <v>32.950000000000003</v>
      </c>
      <c r="H393" s="52">
        <v>6.59</v>
      </c>
      <c r="I393" s="52">
        <f>SUM(G393:H393)</f>
        <v>39.540000000000006</v>
      </c>
      <c r="J393" s="194" t="s">
        <v>287</v>
      </c>
      <c r="K393" s="373">
        <v>45873</v>
      </c>
      <c r="L393" s="315">
        <v>22</v>
      </c>
      <c r="M393" s="361"/>
      <c r="N393" s="362">
        <f>SUM(G336+G347+G348+G350+G356+G359+G366+G367+G368+G381+G384+G388+G393)/2500</f>
        <v>0.29619600000000007</v>
      </c>
      <c r="O393" s="40"/>
      <c r="P393" s="359"/>
    </row>
    <row r="394" spans="2:16" x14ac:dyDescent="0.3">
      <c r="B394" s="32"/>
      <c r="C394" s="397">
        <v>45875</v>
      </c>
      <c r="D394" s="109" t="s">
        <v>415</v>
      </c>
      <c r="E394" s="123">
        <v>93.2</v>
      </c>
      <c r="F394" s="96" t="s">
        <v>421</v>
      </c>
      <c r="G394" s="52">
        <v>14.23</v>
      </c>
      <c r="H394" s="52">
        <v>0.71</v>
      </c>
      <c r="I394" s="52">
        <f>SUM(G394:H394)</f>
        <v>14.940000000000001</v>
      </c>
      <c r="J394" s="194" t="s">
        <v>275</v>
      </c>
      <c r="K394" s="258">
        <v>45876</v>
      </c>
      <c r="L394" s="111">
        <v>22</v>
      </c>
      <c r="M394" s="139"/>
      <c r="N394" s="211">
        <f>SUM(G336+G347+G348+G350+G356+G359+G366+G367+G368+G381+G384+G388+G393+G394)/2500</f>
        <v>0.30188800000000005</v>
      </c>
      <c r="O394" s="40"/>
      <c r="P394" s="359"/>
    </row>
    <row r="395" spans="2:16" x14ac:dyDescent="0.3">
      <c r="B395" s="32"/>
      <c r="C395" s="397">
        <v>45888</v>
      </c>
      <c r="D395" s="109" t="s">
        <v>416</v>
      </c>
      <c r="E395" s="123">
        <v>93.2</v>
      </c>
      <c r="F395" s="94" t="s">
        <v>558</v>
      </c>
      <c r="G395" s="29">
        <v>50</v>
      </c>
      <c r="H395" s="29">
        <v>10</v>
      </c>
      <c r="I395" s="52">
        <f t="shared" ref="I395:I399" si="22">SUM(G395:H395)</f>
        <v>60</v>
      </c>
      <c r="J395" s="195" t="s">
        <v>269</v>
      </c>
      <c r="K395" s="147">
        <v>45888</v>
      </c>
      <c r="L395" s="43">
        <v>13</v>
      </c>
      <c r="M395" s="136"/>
      <c r="N395" s="59">
        <f>SUM(G341+G395)/1600</f>
        <v>6.25E-2</v>
      </c>
      <c r="O395" s="40"/>
      <c r="P395" s="11"/>
    </row>
    <row r="396" spans="2:16" s="319" customFormat="1" x14ac:dyDescent="0.3">
      <c r="B396" s="32"/>
      <c r="C396" s="397">
        <v>45888</v>
      </c>
      <c r="D396" s="109" t="s">
        <v>417</v>
      </c>
      <c r="E396" s="123">
        <v>93.2</v>
      </c>
      <c r="F396" s="46" t="s">
        <v>422</v>
      </c>
      <c r="G396" s="47">
        <v>400</v>
      </c>
      <c r="H396" s="47">
        <v>0</v>
      </c>
      <c r="I396" s="52">
        <f t="shared" si="22"/>
        <v>400</v>
      </c>
      <c r="J396" s="197" t="s">
        <v>269</v>
      </c>
      <c r="K396" s="147">
        <v>45888</v>
      </c>
      <c r="L396" s="43">
        <v>17</v>
      </c>
      <c r="M396" s="136"/>
      <c r="N396" s="59">
        <f>SUM(G351+G352+G364+G389+G396)/3050</f>
        <v>0.52459016393442626</v>
      </c>
      <c r="O396" s="318"/>
      <c r="P396" s="11"/>
    </row>
    <row r="397" spans="2:16" x14ac:dyDescent="0.3">
      <c r="B397" s="313"/>
      <c r="C397" s="397">
        <v>45888</v>
      </c>
      <c r="D397" s="109" t="s">
        <v>418</v>
      </c>
      <c r="E397" s="123">
        <v>93.2</v>
      </c>
      <c r="F397" s="27" t="s">
        <v>437</v>
      </c>
      <c r="G397" s="29">
        <v>250</v>
      </c>
      <c r="H397" s="29">
        <v>0</v>
      </c>
      <c r="I397" s="52">
        <f t="shared" si="22"/>
        <v>250</v>
      </c>
      <c r="J397" s="195" t="s">
        <v>269</v>
      </c>
      <c r="K397" s="147">
        <v>45888</v>
      </c>
      <c r="L397" s="30">
        <v>17</v>
      </c>
      <c r="M397" s="142"/>
      <c r="N397" s="59">
        <f>SUM(G351+G352+G364+G389+G396+G397)/3050</f>
        <v>0.60655737704918034</v>
      </c>
      <c r="O397" s="40"/>
    </row>
    <row r="398" spans="2:16" x14ac:dyDescent="0.3">
      <c r="B398" s="72"/>
      <c r="C398" s="397">
        <v>45888</v>
      </c>
      <c r="D398" s="109" t="s">
        <v>419</v>
      </c>
      <c r="E398" s="123">
        <v>93.2</v>
      </c>
      <c r="F398" s="288" t="s">
        <v>423</v>
      </c>
      <c r="G398" s="289">
        <v>150</v>
      </c>
      <c r="H398" s="289">
        <v>30</v>
      </c>
      <c r="I398" s="52">
        <f t="shared" si="22"/>
        <v>180</v>
      </c>
      <c r="J398" s="290" t="s">
        <v>269</v>
      </c>
      <c r="K398" s="147">
        <v>45888</v>
      </c>
      <c r="L398" s="291">
        <v>15</v>
      </c>
      <c r="M398" s="292"/>
      <c r="N398" s="293">
        <f>SUM(G375+G378+G390+G398)/1380</f>
        <v>0.21539855072463768</v>
      </c>
      <c r="O398" s="40"/>
    </row>
    <row r="399" spans="2:16" x14ac:dyDescent="0.3">
      <c r="B399" s="72"/>
      <c r="C399" s="397">
        <v>45888</v>
      </c>
      <c r="D399" s="109" t="s">
        <v>420</v>
      </c>
      <c r="E399" s="123">
        <v>93.2</v>
      </c>
      <c r="F399" s="288" t="s">
        <v>439</v>
      </c>
      <c r="G399" s="289">
        <v>31.83</v>
      </c>
      <c r="H399" s="289">
        <v>1.59</v>
      </c>
      <c r="I399" s="52">
        <f t="shared" si="22"/>
        <v>33.42</v>
      </c>
      <c r="J399" s="290" t="s">
        <v>269</v>
      </c>
      <c r="K399" s="147">
        <v>45888</v>
      </c>
      <c r="L399" s="291">
        <v>22</v>
      </c>
      <c r="M399" s="292"/>
      <c r="N399" s="293">
        <f>SUM(G336+G347+G348+G350+G356+G359+G366+G367+G368+G381+G384+G388+G393+G394+G399)/2500</f>
        <v>0.31462000000000007</v>
      </c>
      <c r="O399" s="40"/>
    </row>
    <row r="400" spans="2:16" x14ac:dyDescent="0.3">
      <c r="B400" s="72"/>
      <c r="C400" s="398">
        <v>45890</v>
      </c>
      <c r="D400" s="109" t="s">
        <v>438</v>
      </c>
      <c r="E400" s="123">
        <v>93.2</v>
      </c>
      <c r="F400" s="288" t="s">
        <v>453</v>
      </c>
      <c r="G400" s="289">
        <v>5.4</v>
      </c>
      <c r="H400" s="289">
        <v>0</v>
      </c>
      <c r="I400" s="52">
        <v>5.4</v>
      </c>
      <c r="J400" s="290" t="s">
        <v>270</v>
      </c>
      <c r="K400" s="147">
        <v>45890</v>
      </c>
      <c r="L400" s="291">
        <v>34</v>
      </c>
      <c r="M400" s="292"/>
      <c r="N400" s="293">
        <f>SUM(G342+G353+G371+G385+G400)/100</f>
        <v>0.26200000000000001</v>
      </c>
      <c r="O400" s="40"/>
    </row>
    <row r="401" spans="2:16" x14ac:dyDescent="0.3">
      <c r="B401" s="72"/>
      <c r="C401" s="398">
        <v>45898</v>
      </c>
      <c r="D401" s="109" t="s">
        <v>440</v>
      </c>
      <c r="E401" s="123">
        <v>93.2</v>
      </c>
      <c r="F401" s="159" t="s">
        <v>443</v>
      </c>
      <c r="G401" s="29">
        <v>1014.94</v>
      </c>
      <c r="H401" s="29">
        <v>0</v>
      </c>
      <c r="I401" s="52">
        <f t="shared" ref="I401:I402" si="23">G401+H401</f>
        <v>1014.94</v>
      </c>
      <c r="J401" s="195" t="s">
        <v>260</v>
      </c>
      <c r="K401" s="147">
        <v>45897</v>
      </c>
      <c r="L401" s="291">
        <v>1</v>
      </c>
      <c r="M401" s="292"/>
      <c r="N401" s="293">
        <f>SUM(G343+G354+G373+G386+G401)/12788.25</f>
        <v>0.39682521064258214</v>
      </c>
      <c r="O401" s="40"/>
    </row>
    <row r="402" spans="2:16" x14ac:dyDescent="0.3">
      <c r="B402" s="72"/>
      <c r="C402" s="398">
        <v>45898</v>
      </c>
      <c r="D402" s="109" t="s">
        <v>441</v>
      </c>
      <c r="E402" s="123">
        <v>93.2</v>
      </c>
      <c r="F402" s="79" t="s">
        <v>444</v>
      </c>
      <c r="G402" s="29">
        <v>26</v>
      </c>
      <c r="H402" s="29">
        <v>0</v>
      </c>
      <c r="I402" s="52">
        <f t="shared" si="23"/>
        <v>26</v>
      </c>
      <c r="J402" s="195" t="s">
        <v>260</v>
      </c>
      <c r="K402" s="147">
        <v>45897</v>
      </c>
      <c r="L402" s="291">
        <v>3</v>
      </c>
      <c r="M402" s="292"/>
      <c r="N402" s="293">
        <f>SUM(G344+G355+G374+G387+G402)/312</f>
        <v>0.41666666666666669</v>
      </c>
      <c r="O402" s="40"/>
    </row>
    <row r="403" spans="2:16" ht="13.5" thickBot="1" x14ac:dyDescent="0.35">
      <c r="B403" s="34"/>
      <c r="C403" s="68"/>
      <c r="D403" s="60"/>
      <c r="E403" s="124"/>
      <c r="F403" s="35"/>
      <c r="G403" s="230">
        <f>SUM(G393:G402)</f>
        <v>1975.3500000000001</v>
      </c>
      <c r="H403" s="230">
        <f>SUM(H393:H402)</f>
        <v>48.89</v>
      </c>
      <c r="I403" s="230">
        <f>SUM(I393:I402)</f>
        <v>2024.24</v>
      </c>
      <c r="J403" s="36"/>
      <c r="K403" s="68"/>
      <c r="L403" s="61"/>
      <c r="M403" s="138"/>
      <c r="N403" s="62"/>
      <c r="O403" s="40"/>
    </row>
    <row r="404" spans="2:16" ht="26.5" thickBot="1" x14ac:dyDescent="0.35">
      <c r="B404" s="205"/>
      <c r="C404" s="210" t="s">
        <v>263</v>
      </c>
      <c r="D404" s="181" t="s">
        <v>1</v>
      </c>
      <c r="E404" s="182" t="s">
        <v>244</v>
      </c>
      <c r="F404" s="180" t="s">
        <v>243</v>
      </c>
      <c r="G404" s="183" t="s">
        <v>229</v>
      </c>
      <c r="H404" s="183" t="s">
        <v>222</v>
      </c>
      <c r="I404" s="183" t="s">
        <v>230</v>
      </c>
      <c r="J404" s="202" t="s">
        <v>262</v>
      </c>
      <c r="K404" s="184" t="s">
        <v>231</v>
      </c>
      <c r="L404" s="183" t="s">
        <v>238</v>
      </c>
      <c r="M404" s="185" t="s">
        <v>259</v>
      </c>
      <c r="N404" s="349" t="s">
        <v>249</v>
      </c>
      <c r="O404" s="40"/>
    </row>
    <row r="405" spans="2:16" x14ac:dyDescent="0.3">
      <c r="B405" s="95">
        <v>45901</v>
      </c>
      <c r="C405" s="397">
        <v>45904</v>
      </c>
      <c r="D405" s="109" t="s">
        <v>445</v>
      </c>
      <c r="E405" s="215">
        <v>93.2</v>
      </c>
      <c r="F405" s="159" t="s">
        <v>450</v>
      </c>
      <c r="G405" s="92">
        <v>32.950000000000003</v>
      </c>
      <c r="H405" s="92">
        <v>6.59</v>
      </c>
      <c r="I405" s="52">
        <v>39.54</v>
      </c>
      <c r="J405" s="195" t="s">
        <v>287</v>
      </c>
      <c r="K405" s="147">
        <v>45904</v>
      </c>
      <c r="L405" s="291">
        <v>22</v>
      </c>
      <c r="M405" s="292"/>
      <c r="N405" s="211">
        <f>SUM(G336+G347+G348+G350+G356+G359+G366+G367+G368+G381+G384+G388+G393+G394+G399+G405)/2500</f>
        <v>0.32780000000000009</v>
      </c>
      <c r="O405" s="40"/>
    </row>
    <row r="406" spans="2:16" x14ac:dyDescent="0.3">
      <c r="B406" s="33"/>
      <c r="C406" s="397">
        <v>45910</v>
      </c>
      <c r="D406" s="109" t="s">
        <v>446</v>
      </c>
      <c r="E406" s="215">
        <v>93.2</v>
      </c>
      <c r="F406" s="74" t="s">
        <v>425</v>
      </c>
      <c r="G406" s="92">
        <v>19.55</v>
      </c>
      <c r="H406" s="92">
        <v>0</v>
      </c>
      <c r="I406" s="29">
        <f t="shared" ref="I406:I411" si="24">SUM(G406:H406)</f>
        <v>19.55</v>
      </c>
      <c r="J406" s="195" t="s">
        <v>269</v>
      </c>
      <c r="K406" s="147">
        <v>45910</v>
      </c>
      <c r="L406" s="93">
        <v>13</v>
      </c>
      <c r="M406" s="292"/>
      <c r="N406" s="59">
        <f>SUM(G341+G406)/1600</f>
        <v>4.346875E-2</v>
      </c>
      <c r="O406" s="40"/>
    </row>
    <row r="407" spans="2:16" x14ac:dyDescent="0.3">
      <c r="B407" s="32"/>
      <c r="C407" s="397">
        <v>45910</v>
      </c>
      <c r="D407" s="109" t="s">
        <v>447</v>
      </c>
      <c r="E407" s="215">
        <v>93.2</v>
      </c>
      <c r="F407" s="288" t="s">
        <v>448</v>
      </c>
      <c r="G407" s="289">
        <v>190</v>
      </c>
      <c r="H407" s="289">
        <v>0</v>
      </c>
      <c r="I407" s="339">
        <f t="shared" si="24"/>
        <v>190</v>
      </c>
      <c r="J407" s="341" t="s">
        <v>269</v>
      </c>
      <c r="K407" s="147">
        <v>45910</v>
      </c>
      <c r="L407" s="291">
        <v>10</v>
      </c>
      <c r="M407" s="292"/>
      <c r="N407" s="293">
        <f>SUM(G337+G407)/406</f>
        <v>0.90394088669950734</v>
      </c>
      <c r="O407" s="40"/>
      <c r="P407" s="319"/>
    </row>
    <row r="408" spans="2:16" x14ac:dyDescent="0.3">
      <c r="B408" s="32"/>
      <c r="C408" s="397">
        <v>45910</v>
      </c>
      <c r="D408" s="109" t="s">
        <v>449</v>
      </c>
      <c r="E408" s="215">
        <v>93.2</v>
      </c>
      <c r="F408" s="27" t="s">
        <v>452</v>
      </c>
      <c r="G408" s="29">
        <v>63.69</v>
      </c>
      <c r="H408" s="29">
        <v>12.75</v>
      </c>
      <c r="I408" s="29">
        <f t="shared" si="24"/>
        <v>76.44</v>
      </c>
      <c r="J408" s="43" t="s">
        <v>269</v>
      </c>
      <c r="K408" s="147">
        <v>45910</v>
      </c>
      <c r="L408" s="27">
        <v>6</v>
      </c>
      <c r="M408" s="140"/>
      <c r="N408" s="293">
        <f>SUM(G408)/350</f>
        <v>0.18197142857142856</v>
      </c>
      <c r="O408" s="40"/>
      <c r="P408" s="222"/>
    </row>
    <row r="409" spans="2:16" x14ac:dyDescent="0.3">
      <c r="B409" s="32"/>
      <c r="C409" s="397">
        <v>45910</v>
      </c>
      <c r="D409" s="109" t="s">
        <v>451</v>
      </c>
      <c r="E409" s="215">
        <v>93.2</v>
      </c>
      <c r="F409" s="79" t="s">
        <v>454</v>
      </c>
      <c r="G409" s="29">
        <v>60.96</v>
      </c>
      <c r="H409" s="29">
        <v>0</v>
      </c>
      <c r="I409" s="29">
        <f t="shared" si="24"/>
        <v>60.96</v>
      </c>
      <c r="J409" s="196" t="s">
        <v>269</v>
      </c>
      <c r="K409" s="147">
        <v>45910</v>
      </c>
      <c r="L409" s="30">
        <v>6</v>
      </c>
      <c r="M409" s="142"/>
      <c r="N409" s="293">
        <f>SUM(G408+G409)/350</f>
        <v>0.35614285714285715</v>
      </c>
      <c r="O409" s="40"/>
    </row>
    <row r="410" spans="2:16" x14ac:dyDescent="0.3">
      <c r="B410" s="32"/>
      <c r="C410" s="397">
        <v>45910</v>
      </c>
      <c r="D410" s="109" t="s">
        <v>455</v>
      </c>
      <c r="E410" s="215">
        <v>93.2</v>
      </c>
      <c r="F410" s="79" t="s">
        <v>457</v>
      </c>
      <c r="G410" s="92">
        <v>300</v>
      </c>
      <c r="H410" s="92">
        <v>0</v>
      </c>
      <c r="I410" s="29">
        <f t="shared" si="24"/>
        <v>300</v>
      </c>
      <c r="J410" s="196" t="s">
        <v>269</v>
      </c>
      <c r="K410" s="147">
        <v>45910</v>
      </c>
      <c r="L410" s="42">
        <v>17</v>
      </c>
      <c r="M410" s="136"/>
      <c r="N410" s="78">
        <f>SUM(G351+G352+G364+G389+G396+G397+G410)/3050</f>
        <v>0.70491803278688525</v>
      </c>
      <c r="O410" s="40"/>
    </row>
    <row r="411" spans="2:16" x14ac:dyDescent="0.3">
      <c r="B411" s="32"/>
      <c r="C411" s="397">
        <v>45912</v>
      </c>
      <c r="D411" s="109" t="s">
        <v>456</v>
      </c>
      <c r="E411" s="215">
        <v>93.2</v>
      </c>
      <c r="F411" s="27" t="s">
        <v>458</v>
      </c>
      <c r="G411" s="29">
        <v>26.66</v>
      </c>
      <c r="H411" s="29">
        <v>5.33</v>
      </c>
      <c r="I411" s="29">
        <f t="shared" si="24"/>
        <v>31.990000000000002</v>
      </c>
      <c r="J411" s="195" t="s">
        <v>275</v>
      </c>
      <c r="K411" s="147">
        <v>45912</v>
      </c>
      <c r="L411" s="77">
        <v>21</v>
      </c>
      <c r="M411" s="137"/>
      <c r="N411" s="59">
        <f>SUM(G411)/1000</f>
        <v>2.666E-2</v>
      </c>
      <c r="O411" s="40"/>
    </row>
    <row r="412" spans="2:16" x14ac:dyDescent="0.3">
      <c r="B412" s="32"/>
      <c r="C412" s="397">
        <v>45910</v>
      </c>
      <c r="D412" s="109" t="s">
        <v>459</v>
      </c>
      <c r="E412" s="215">
        <v>93.2</v>
      </c>
      <c r="F412" s="74" t="s">
        <v>476</v>
      </c>
      <c r="G412" s="92">
        <v>35.78</v>
      </c>
      <c r="H412" s="92">
        <v>7.15</v>
      </c>
      <c r="I412" s="52">
        <f t="shared" ref="I412:I413" si="25">G412+H412</f>
        <v>42.93</v>
      </c>
      <c r="J412" s="196" t="s">
        <v>269</v>
      </c>
      <c r="K412" s="148">
        <v>45910</v>
      </c>
      <c r="L412" s="93">
        <v>8</v>
      </c>
      <c r="M412" s="140"/>
      <c r="N412" s="78">
        <f>SUM(G361+G363+G412)/440</f>
        <v>0.56352272727272734</v>
      </c>
      <c r="O412" s="40"/>
    </row>
    <row r="413" spans="2:16" x14ac:dyDescent="0.3">
      <c r="B413" s="32"/>
      <c r="C413" s="397">
        <v>45910</v>
      </c>
      <c r="D413" s="109" t="s">
        <v>460</v>
      </c>
      <c r="E413" s="215">
        <v>93.2</v>
      </c>
      <c r="F413" s="74" t="s">
        <v>481</v>
      </c>
      <c r="G413" s="92">
        <v>102.5</v>
      </c>
      <c r="H413" s="92">
        <v>20.5</v>
      </c>
      <c r="I413" s="52">
        <f t="shared" si="25"/>
        <v>123</v>
      </c>
      <c r="J413" s="196" t="s">
        <v>269</v>
      </c>
      <c r="K413" s="148">
        <v>45910</v>
      </c>
      <c r="L413" s="93">
        <v>22</v>
      </c>
      <c r="M413" s="140"/>
      <c r="N413" s="78">
        <f>SUM(G336+G347+G348+G350+G356+G359+G366+G367+G368+G381+G384+G388+G393+G394+G399+G405+G413)/2500</f>
        <v>0.36880000000000007</v>
      </c>
      <c r="O413" s="40"/>
    </row>
    <row r="414" spans="2:16" x14ac:dyDescent="0.3">
      <c r="B414" s="32"/>
      <c r="C414" s="397">
        <v>45922</v>
      </c>
      <c r="D414" s="109" t="s">
        <v>461</v>
      </c>
      <c r="E414" s="215">
        <v>93.2</v>
      </c>
      <c r="F414" s="288" t="s">
        <v>480</v>
      </c>
      <c r="G414" s="289">
        <v>0.8</v>
      </c>
      <c r="H414" s="289">
        <v>0</v>
      </c>
      <c r="I414" s="52">
        <v>0.8</v>
      </c>
      <c r="J414" s="290" t="s">
        <v>270</v>
      </c>
      <c r="K414" s="147">
        <v>45921</v>
      </c>
      <c r="L414" s="43">
        <v>34</v>
      </c>
      <c r="M414" s="43"/>
      <c r="N414" s="59">
        <f>SUM(G342+G353+G371+G385+G400+G414)/100</f>
        <v>0.27</v>
      </c>
      <c r="O414" s="40"/>
    </row>
    <row r="415" spans="2:16" x14ac:dyDescent="0.3">
      <c r="B415" s="32"/>
      <c r="C415" s="397">
        <v>45929</v>
      </c>
      <c r="D415" s="109" t="s">
        <v>475</v>
      </c>
      <c r="E415" s="215">
        <v>93.2</v>
      </c>
      <c r="F415" s="159" t="s">
        <v>477</v>
      </c>
      <c r="G415" s="29">
        <v>1014.94</v>
      </c>
      <c r="H415" s="29">
        <v>0</v>
      </c>
      <c r="I415" s="52">
        <f t="shared" ref="I415:I418" si="26">G415+H415</f>
        <v>1014.94</v>
      </c>
      <c r="J415" s="195" t="s">
        <v>260</v>
      </c>
      <c r="K415" s="147">
        <v>47390</v>
      </c>
      <c r="L415" s="43">
        <v>1</v>
      </c>
      <c r="M415" s="137"/>
      <c r="N415" s="78">
        <f>SUM(G343+G354+G373+G386+G401+G415)/12788.25</f>
        <v>0.47619025277109855</v>
      </c>
      <c r="O415" s="40"/>
    </row>
    <row r="416" spans="2:16" x14ac:dyDescent="0.3">
      <c r="B416" s="32"/>
      <c r="C416" s="397">
        <v>45929</v>
      </c>
      <c r="D416" s="109" t="s">
        <v>479</v>
      </c>
      <c r="E416" s="215">
        <v>93.2</v>
      </c>
      <c r="F416" s="79" t="s">
        <v>478</v>
      </c>
      <c r="G416" s="29">
        <v>26</v>
      </c>
      <c r="H416" s="29">
        <v>0</v>
      </c>
      <c r="I416" s="52">
        <f t="shared" si="26"/>
        <v>26</v>
      </c>
      <c r="J416" s="195" t="s">
        <v>260</v>
      </c>
      <c r="K416" s="147">
        <v>47390</v>
      </c>
      <c r="L416" s="42">
        <v>3</v>
      </c>
      <c r="M416" s="140"/>
      <c r="N416" s="78">
        <f>SUM(G344+G355+G374+G387+G402+G416)/312</f>
        <v>0.5</v>
      </c>
      <c r="O416" s="40"/>
    </row>
    <row r="417" spans="2:16" x14ac:dyDescent="0.3">
      <c r="B417" s="32"/>
      <c r="C417" s="397">
        <v>45917</v>
      </c>
      <c r="D417" s="109" t="s">
        <v>482</v>
      </c>
      <c r="E417" s="125">
        <v>93.2</v>
      </c>
      <c r="F417" s="159" t="s">
        <v>485</v>
      </c>
      <c r="G417" s="92">
        <v>24.08</v>
      </c>
      <c r="H417" s="92">
        <v>0</v>
      </c>
      <c r="I417" s="29">
        <f t="shared" ref="I417" si="27">G417+H417</f>
        <v>24.08</v>
      </c>
      <c r="J417" s="196" t="s">
        <v>275</v>
      </c>
      <c r="K417" s="148">
        <v>45917</v>
      </c>
      <c r="L417" s="93">
        <v>22</v>
      </c>
      <c r="M417" s="140"/>
      <c r="N417" s="78">
        <f>SUM(G336+G347+G348+G350+G356+G359+G366+G367+G368+G381+G384+G388+G393+G394+G399+G405+G413+G417)/2500</f>
        <v>0.3784320000000001</v>
      </c>
      <c r="O417" s="40"/>
    </row>
    <row r="418" spans="2:16" x14ac:dyDescent="0.3">
      <c r="B418" s="32"/>
      <c r="C418" s="397">
        <v>45918</v>
      </c>
      <c r="D418" s="109" t="s">
        <v>484</v>
      </c>
      <c r="E418" s="215">
        <v>93.2</v>
      </c>
      <c r="F418" s="159" t="s">
        <v>483</v>
      </c>
      <c r="G418" s="92">
        <v>160</v>
      </c>
      <c r="H418" s="92">
        <v>0</v>
      </c>
      <c r="I418" s="339">
        <f t="shared" si="26"/>
        <v>160</v>
      </c>
      <c r="J418" s="196" t="s">
        <v>269</v>
      </c>
      <c r="K418" s="148">
        <v>45919</v>
      </c>
      <c r="L418" s="93">
        <v>21</v>
      </c>
      <c r="M418" s="140"/>
      <c r="N418" s="78">
        <f>SUM(G411+G418)/1000</f>
        <v>0.18665999999999999</v>
      </c>
      <c r="O418" s="40"/>
      <c r="P418" s="11">
        <f>SUM(I417:I418)</f>
        <v>184.07999999999998</v>
      </c>
    </row>
    <row r="419" spans="2:16" ht="13.5" thickBot="1" x14ac:dyDescent="0.35">
      <c r="B419" s="32"/>
      <c r="C419" s="28"/>
      <c r="D419" s="41"/>
      <c r="E419" s="122"/>
      <c r="F419" s="172"/>
      <c r="G419" s="230">
        <f>SUM(G405:G418)</f>
        <v>2057.91</v>
      </c>
      <c r="H419" s="230">
        <f>SUM(H405:H418)</f>
        <v>52.32</v>
      </c>
      <c r="I419" s="230">
        <f>SUM(I405:I418)</f>
        <v>2110.23</v>
      </c>
      <c r="J419" s="198"/>
      <c r="K419" s="71"/>
      <c r="L419" s="93"/>
      <c r="M419" s="140"/>
      <c r="N419" s="59"/>
      <c r="O419" s="40"/>
    </row>
    <row r="420" spans="2:16" ht="26.5" thickBot="1" x14ac:dyDescent="0.35">
      <c r="B420" s="205"/>
      <c r="C420" s="207" t="s">
        <v>263</v>
      </c>
      <c r="D420" s="206" t="s">
        <v>1</v>
      </c>
      <c r="E420" s="182" t="s">
        <v>244</v>
      </c>
      <c r="F420" s="263" t="s">
        <v>243</v>
      </c>
      <c r="G420" s="265" t="s">
        <v>229</v>
      </c>
      <c r="H420" s="264" t="s">
        <v>222</v>
      </c>
      <c r="I420" s="183" t="s">
        <v>230</v>
      </c>
      <c r="J420" s="202" t="s">
        <v>262</v>
      </c>
      <c r="K420" s="184" t="s">
        <v>231</v>
      </c>
      <c r="L420" s="183" t="s">
        <v>238</v>
      </c>
      <c r="M420" s="185" t="s">
        <v>259</v>
      </c>
      <c r="N420" s="349" t="s">
        <v>249</v>
      </c>
      <c r="O420" s="40"/>
    </row>
    <row r="421" spans="2:16" x14ac:dyDescent="0.3">
      <c r="B421" s="320">
        <v>45931</v>
      </c>
      <c r="C421" s="394">
        <v>45936</v>
      </c>
      <c r="D421" s="310" t="s">
        <v>486</v>
      </c>
      <c r="E421" s="299">
        <v>114.2</v>
      </c>
      <c r="F421" s="298" t="s">
        <v>501</v>
      </c>
      <c r="G421" s="92">
        <v>32.950000000000003</v>
      </c>
      <c r="H421" s="92">
        <v>6.59</v>
      </c>
      <c r="I421" s="52">
        <f>G421+H421</f>
        <v>39.540000000000006</v>
      </c>
      <c r="J421" s="195" t="s">
        <v>287</v>
      </c>
      <c r="K421" s="373">
        <v>45936</v>
      </c>
      <c r="L421" s="374">
        <v>22</v>
      </c>
      <c r="M421" s="321"/>
      <c r="N421" s="375">
        <f>SUM(G336+G347+G348+G350+G356+G359+G366+G367+G368+G381+G384+G388+G393+G394+G399+G405+G413+G417+G421)/2500</f>
        <v>0.39161200000000013</v>
      </c>
      <c r="O421" s="40"/>
    </row>
    <row r="422" spans="2:16" s="319" customFormat="1" x14ac:dyDescent="0.3">
      <c r="B422" s="32"/>
      <c r="C422" s="397">
        <v>45945</v>
      </c>
      <c r="D422" s="310" t="s">
        <v>502</v>
      </c>
      <c r="E422" s="299">
        <v>114.2</v>
      </c>
      <c r="F422" s="27" t="s">
        <v>506</v>
      </c>
      <c r="G422" s="208">
        <v>679</v>
      </c>
      <c r="H422" s="29">
        <v>135.80000000000001</v>
      </c>
      <c r="I422" s="52">
        <f t="shared" ref="I422:I431" si="28">G422+H422</f>
        <v>814.8</v>
      </c>
      <c r="J422" s="195" t="s">
        <v>269</v>
      </c>
      <c r="K422" s="147">
        <v>45945</v>
      </c>
      <c r="L422" s="43">
        <v>28</v>
      </c>
      <c r="M422" s="43"/>
      <c r="N422" s="59">
        <f>SUM(G422)/2356.25</f>
        <v>0.28816976127320953</v>
      </c>
      <c r="O422" s="318"/>
      <c r="P422"/>
    </row>
    <row r="423" spans="2:16" x14ac:dyDescent="0.3">
      <c r="B423" s="32"/>
      <c r="C423" s="397">
        <v>45945</v>
      </c>
      <c r="D423" s="310" t="s">
        <v>503</v>
      </c>
      <c r="E423" s="299">
        <v>114.2</v>
      </c>
      <c r="F423" s="27" t="s">
        <v>507</v>
      </c>
      <c r="G423" s="208">
        <v>51.25</v>
      </c>
      <c r="H423" s="29">
        <v>10.25</v>
      </c>
      <c r="I423" s="52">
        <f t="shared" si="28"/>
        <v>61.5</v>
      </c>
      <c r="J423" s="195" t="s">
        <v>269</v>
      </c>
      <c r="K423" s="147">
        <v>45945</v>
      </c>
      <c r="L423" s="42">
        <v>22</v>
      </c>
      <c r="M423" s="43"/>
      <c r="N423" s="59">
        <f>SUM(G336+G347+G348+G350+G356+G359+G366+G367+G368+G381+G384+G388+G393+G394+G399+G405+G413+G417+G421+G423)/2500</f>
        <v>0.41211200000000009</v>
      </c>
      <c r="O423" s="40"/>
      <c r="P423" s="160"/>
    </row>
    <row r="424" spans="2:16" x14ac:dyDescent="0.3">
      <c r="B424" s="32"/>
      <c r="C424" s="397">
        <v>46310</v>
      </c>
      <c r="D424" s="310" t="s">
        <v>504</v>
      </c>
      <c r="E424" s="299">
        <v>114.2</v>
      </c>
      <c r="F424" s="27" t="s">
        <v>508</v>
      </c>
      <c r="G424" s="208">
        <v>269.07</v>
      </c>
      <c r="H424" s="29">
        <v>0</v>
      </c>
      <c r="I424" s="52">
        <f t="shared" si="28"/>
        <v>269.07</v>
      </c>
      <c r="J424" s="195" t="s">
        <v>269</v>
      </c>
      <c r="K424" s="147">
        <v>45945</v>
      </c>
      <c r="L424" s="42">
        <v>2</v>
      </c>
      <c r="M424" s="43"/>
      <c r="N424" s="59">
        <f>SUM(G338+G383+G424)/1292.52</f>
        <v>0.49865379259121717</v>
      </c>
      <c r="O424" s="40"/>
      <c r="P424" s="160"/>
    </row>
    <row r="425" spans="2:16" x14ac:dyDescent="0.3">
      <c r="B425" s="32"/>
      <c r="C425" s="397">
        <v>45945</v>
      </c>
      <c r="D425" s="310" t="s">
        <v>505</v>
      </c>
      <c r="E425" s="299">
        <v>114.2</v>
      </c>
      <c r="F425" s="27" t="s">
        <v>517</v>
      </c>
      <c r="G425" s="208">
        <v>250</v>
      </c>
      <c r="H425" s="29">
        <v>0</v>
      </c>
      <c r="I425" s="52">
        <f t="shared" si="28"/>
        <v>250</v>
      </c>
      <c r="J425" s="195" t="s">
        <v>269</v>
      </c>
      <c r="K425" s="147">
        <v>45945</v>
      </c>
      <c r="L425" s="42">
        <v>17</v>
      </c>
      <c r="M425" s="43"/>
      <c r="N425" s="59">
        <f>SUM(G351+G352+G364+G389+G396+G397+G410+G425)/3050</f>
        <v>0.78688524590163933</v>
      </c>
      <c r="O425" s="40"/>
      <c r="P425" s="160"/>
    </row>
    <row r="426" spans="2:16" x14ac:dyDescent="0.3">
      <c r="B426" s="32"/>
      <c r="C426" s="397">
        <v>45945</v>
      </c>
      <c r="D426" s="310" t="s">
        <v>512</v>
      </c>
      <c r="E426" s="299">
        <v>114.2</v>
      </c>
      <c r="F426" s="27" t="s">
        <v>509</v>
      </c>
      <c r="G426" s="208">
        <v>22.23</v>
      </c>
      <c r="H426" s="29">
        <v>4.45</v>
      </c>
      <c r="I426" s="52">
        <f t="shared" si="28"/>
        <v>26.68</v>
      </c>
      <c r="J426" s="195" t="s">
        <v>275</v>
      </c>
      <c r="K426" s="147">
        <v>45945</v>
      </c>
      <c r="L426" s="42">
        <v>22</v>
      </c>
      <c r="M426" s="43"/>
      <c r="N426" s="59">
        <f>SUM(G336+G347+G348+G350+G356+G359+G366+G367+G368+G381+G384+G388+G393+G394+G399+G405+G413+G417+G421+G423+G426)/2500</f>
        <v>0.4210040000000001</v>
      </c>
      <c r="O426" s="40"/>
      <c r="P426" s="160"/>
    </row>
    <row r="427" spans="2:16" x14ac:dyDescent="0.3">
      <c r="B427" s="32"/>
      <c r="C427" s="398">
        <v>45945</v>
      </c>
      <c r="D427" s="310" t="s">
        <v>513</v>
      </c>
      <c r="E427" s="299">
        <v>114.2</v>
      </c>
      <c r="F427" s="27" t="s">
        <v>515</v>
      </c>
      <c r="G427" s="208">
        <v>51.58</v>
      </c>
      <c r="H427" s="29">
        <v>0</v>
      </c>
      <c r="I427" s="110">
        <f t="shared" si="28"/>
        <v>51.58</v>
      </c>
      <c r="J427" s="195" t="s">
        <v>269</v>
      </c>
      <c r="K427" s="147">
        <v>45945</v>
      </c>
      <c r="L427" s="42">
        <v>22</v>
      </c>
      <c r="M427" s="43"/>
      <c r="N427" s="59">
        <f>SUM(G336+G347+G348+G350+G356+G359+G366+G367+G368+G381+G384+G388+G393+G394+G399+G405+G413+G417+G421+G423+G426+G427)/2500</f>
        <v>0.44163600000000008</v>
      </c>
      <c r="O427" s="40"/>
      <c r="P427" s="160"/>
    </row>
    <row r="428" spans="2:16" x14ac:dyDescent="0.3">
      <c r="B428" s="32"/>
      <c r="C428" s="397">
        <v>45958</v>
      </c>
      <c r="D428" s="310" t="s">
        <v>514</v>
      </c>
      <c r="E428" s="299">
        <v>114.2</v>
      </c>
      <c r="F428" s="159" t="s">
        <v>519</v>
      </c>
      <c r="G428" s="29">
        <v>1014.94</v>
      </c>
      <c r="H428" s="29">
        <v>0</v>
      </c>
      <c r="I428" s="52">
        <f t="shared" si="28"/>
        <v>1014.94</v>
      </c>
      <c r="J428" s="195" t="s">
        <v>260</v>
      </c>
      <c r="K428" s="148">
        <v>45958</v>
      </c>
      <c r="L428" s="93">
        <v>1</v>
      </c>
      <c r="M428" s="137"/>
      <c r="N428" s="78">
        <f>SUM(G343+G354+G373+G386+G401+G415+G428)/12788.25</f>
        <v>0.55555529489961497</v>
      </c>
      <c r="O428" s="40"/>
      <c r="P428" s="160"/>
    </row>
    <row r="429" spans="2:16" x14ac:dyDescent="0.3">
      <c r="B429" s="32"/>
      <c r="C429" s="397">
        <v>45958</v>
      </c>
      <c r="D429" s="310" t="s">
        <v>516</v>
      </c>
      <c r="E429" s="299">
        <v>114.2</v>
      </c>
      <c r="F429" s="79" t="s">
        <v>478</v>
      </c>
      <c r="G429" s="29">
        <v>26</v>
      </c>
      <c r="H429" s="29">
        <v>0</v>
      </c>
      <c r="I429" s="52">
        <f t="shared" si="28"/>
        <v>26</v>
      </c>
      <c r="J429" s="195" t="s">
        <v>260</v>
      </c>
      <c r="K429" s="147">
        <v>45958</v>
      </c>
      <c r="L429" s="42">
        <v>3</v>
      </c>
      <c r="M429" s="43"/>
      <c r="N429" s="59">
        <f>SUM(G344+G355+G374+G387+G402+G416+G429)/312</f>
        <v>0.58333333333333337</v>
      </c>
      <c r="O429" s="40"/>
      <c r="P429" s="160"/>
    </row>
    <row r="430" spans="2:16" x14ac:dyDescent="0.3">
      <c r="B430" s="32"/>
      <c r="C430" s="397">
        <v>45952</v>
      </c>
      <c r="D430" s="310" t="s">
        <v>521</v>
      </c>
      <c r="E430" s="124">
        <v>124</v>
      </c>
      <c r="F430" s="27" t="s">
        <v>524</v>
      </c>
      <c r="G430" s="208">
        <v>8</v>
      </c>
      <c r="H430" s="29">
        <v>0</v>
      </c>
      <c r="I430" s="110">
        <f t="shared" si="28"/>
        <v>8</v>
      </c>
      <c r="J430" s="195" t="s">
        <v>275</v>
      </c>
      <c r="K430" s="147">
        <v>45952</v>
      </c>
      <c r="L430" s="42">
        <v>35</v>
      </c>
      <c r="M430" s="43"/>
      <c r="N430" s="59">
        <f>G430/265</f>
        <v>3.0188679245283019E-2</v>
      </c>
      <c r="O430" s="40"/>
      <c r="P430" s="160">
        <f>I432+I418+I417</f>
        <v>2801.1899999999996</v>
      </c>
    </row>
    <row r="431" spans="2:16" x14ac:dyDescent="0.3">
      <c r="B431" s="32"/>
      <c r="C431" s="397">
        <v>45958</v>
      </c>
      <c r="D431" s="310" t="s">
        <v>522</v>
      </c>
      <c r="E431" s="124">
        <v>118.1</v>
      </c>
      <c r="F431" s="27" t="s">
        <v>525</v>
      </c>
      <c r="G431" s="208">
        <v>55</v>
      </c>
      <c r="H431" s="29">
        <v>0</v>
      </c>
      <c r="I431" s="110">
        <f t="shared" si="28"/>
        <v>55</v>
      </c>
      <c r="J431" s="195" t="s">
        <v>287</v>
      </c>
      <c r="K431" s="147">
        <v>45958</v>
      </c>
      <c r="L431" s="42">
        <v>22</v>
      </c>
      <c r="M431" s="43"/>
      <c r="N431" s="59">
        <f>SUM(G336+G347+G348+G350+G356+G359+G366+G367+G368+G381+G384+G388+G393+G394+G399+G405+G413+G417+G421+G423+G426+G427+G431)/2500</f>
        <v>0.46363600000000005</v>
      </c>
      <c r="O431" s="40"/>
      <c r="P431" s="160"/>
    </row>
    <row r="432" spans="2:16" ht="13.5" thickBot="1" x14ac:dyDescent="0.35">
      <c r="B432" s="216"/>
      <c r="C432" s="102"/>
      <c r="D432" s="103"/>
      <c r="E432" s="127"/>
      <c r="F432" s="104"/>
      <c r="G432" s="50">
        <f>SUM(G421:G431)</f>
        <v>2460.02</v>
      </c>
      <c r="H432" s="50">
        <f>SUM(H421:H431)</f>
        <v>157.09</v>
      </c>
      <c r="I432" s="50">
        <f>SUM(I421:I431)</f>
        <v>2617.1099999999997</v>
      </c>
      <c r="J432" s="105"/>
      <c r="K432" s="102"/>
      <c r="L432" s="107"/>
      <c r="M432" s="144"/>
      <c r="N432" s="108"/>
      <c r="O432" s="40"/>
      <c r="P432" s="160"/>
    </row>
    <row r="433" spans="2:16" ht="26.5" thickBot="1" x14ac:dyDescent="0.35">
      <c r="B433" s="179"/>
      <c r="C433" s="210" t="s">
        <v>263</v>
      </c>
      <c r="D433" s="181" t="s">
        <v>1</v>
      </c>
      <c r="E433" s="182" t="s">
        <v>244</v>
      </c>
      <c r="F433" s="180" t="s">
        <v>243</v>
      </c>
      <c r="G433" s="183" t="s">
        <v>229</v>
      </c>
      <c r="H433" s="183" t="s">
        <v>222</v>
      </c>
      <c r="I433" s="183" t="s">
        <v>230</v>
      </c>
      <c r="J433" s="202" t="s">
        <v>262</v>
      </c>
      <c r="K433" s="184" t="s">
        <v>231</v>
      </c>
      <c r="L433" s="183" t="s">
        <v>238</v>
      </c>
      <c r="M433" s="185" t="s">
        <v>259</v>
      </c>
      <c r="N433" s="349" t="s">
        <v>249</v>
      </c>
      <c r="O433" s="40"/>
      <c r="P433" s="160"/>
    </row>
    <row r="434" spans="2:16" x14ac:dyDescent="0.3">
      <c r="B434" s="95">
        <v>45962</v>
      </c>
      <c r="C434" s="394">
        <v>45965</v>
      </c>
      <c r="D434" s="298" t="s">
        <v>523</v>
      </c>
      <c r="E434" s="299">
        <v>135.19999999999999</v>
      </c>
      <c r="F434" s="399" t="s">
        <v>536</v>
      </c>
      <c r="G434" s="339">
        <v>32.950000000000003</v>
      </c>
      <c r="H434" s="339">
        <v>6.59</v>
      </c>
      <c r="I434" s="52">
        <f>G434+H434</f>
        <v>39.540000000000006</v>
      </c>
      <c r="J434" s="194" t="s">
        <v>287</v>
      </c>
      <c r="K434" s="191">
        <v>45965</v>
      </c>
      <c r="L434" s="400">
        <v>22</v>
      </c>
      <c r="M434" s="401"/>
      <c r="N434" s="402">
        <f>SUM(G336+G347+G348+G350+G356+G359+G366+G367+G368+G381+G384+G388+G393+G394+G399+G405+G413+G417+G421+G423+G426+G427+G431+G434)/2500</f>
        <v>0.47681600000000007</v>
      </c>
      <c r="O434" s="40"/>
      <c r="P434" s="160"/>
    </row>
    <row r="435" spans="2:16" x14ac:dyDescent="0.3">
      <c r="B435" s="95"/>
      <c r="C435" s="397">
        <v>45967</v>
      </c>
      <c r="D435" s="240" t="s">
        <v>537</v>
      </c>
      <c r="E435" s="215">
        <v>135.19999999999999</v>
      </c>
      <c r="F435" s="27" t="s">
        <v>546</v>
      </c>
      <c r="G435" s="208">
        <v>47</v>
      </c>
      <c r="H435" s="29">
        <v>0</v>
      </c>
      <c r="I435" s="92">
        <v>47</v>
      </c>
      <c r="J435" s="240" t="s">
        <v>287</v>
      </c>
      <c r="K435" s="373">
        <v>45967</v>
      </c>
      <c r="L435" s="42">
        <v>12</v>
      </c>
      <c r="M435" s="43"/>
      <c r="N435" s="78">
        <f>G435/47</f>
        <v>1</v>
      </c>
      <c r="O435" s="40"/>
      <c r="P435" s="160"/>
    </row>
    <row r="436" spans="2:16" x14ac:dyDescent="0.3">
      <c r="B436" s="32"/>
      <c r="C436" s="397">
        <v>45973</v>
      </c>
      <c r="D436" s="240" t="s">
        <v>538</v>
      </c>
      <c r="E436" s="215">
        <v>135.19999999999999</v>
      </c>
      <c r="F436" s="27" t="s">
        <v>547</v>
      </c>
      <c r="G436" s="208">
        <v>25</v>
      </c>
      <c r="H436" s="29">
        <v>0</v>
      </c>
      <c r="I436" s="29">
        <v>25</v>
      </c>
      <c r="J436" s="240" t="s">
        <v>286</v>
      </c>
      <c r="K436" s="390">
        <v>45994</v>
      </c>
      <c r="L436" s="42">
        <v>26</v>
      </c>
      <c r="M436" s="307" t="s">
        <v>548</v>
      </c>
      <c r="N436" s="59">
        <f>SUM(G376+G377+G436)/500</f>
        <v>0.55000000000000004</v>
      </c>
      <c r="O436" s="40"/>
    </row>
    <row r="437" spans="2:16" x14ac:dyDescent="0.3">
      <c r="B437" s="32"/>
      <c r="C437" s="397">
        <v>45973</v>
      </c>
      <c r="D437" s="240" t="s">
        <v>539</v>
      </c>
      <c r="E437" s="215">
        <v>135.19999999999999</v>
      </c>
      <c r="F437" s="27" t="s">
        <v>549</v>
      </c>
      <c r="G437" s="208">
        <v>51.25</v>
      </c>
      <c r="H437" s="29">
        <v>10.25</v>
      </c>
      <c r="I437" s="29">
        <f t="shared" ref="I437:I440" si="29">G437+H437</f>
        <v>61.5</v>
      </c>
      <c r="J437" s="195" t="s">
        <v>269</v>
      </c>
      <c r="K437" s="373">
        <v>45973</v>
      </c>
      <c r="L437" s="42">
        <v>22</v>
      </c>
      <c r="M437" s="43"/>
      <c r="N437" s="59">
        <f>SUM(G336+G347+G348+G350+G356+G359+G366+G367+G368+G381+G384+G388+G393+G394+G399+G405+G413+G417+G421+G423+G426+G427+G431+G434+G437)/2500</f>
        <v>0.49731600000000009</v>
      </c>
      <c r="O437" s="40"/>
    </row>
    <row r="438" spans="2:16" x14ac:dyDescent="0.3">
      <c r="B438" s="32"/>
      <c r="C438" s="397">
        <v>45973</v>
      </c>
      <c r="D438" s="240" t="s">
        <v>540</v>
      </c>
      <c r="E438" s="215">
        <v>135.19999999999999</v>
      </c>
      <c r="F438" s="27" t="s">
        <v>552</v>
      </c>
      <c r="G438" s="208">
        <v>400</v>
      </c>
      <c r="H438" s="29">
        <v>0</v>
      </c>
      <c r="I438" s="29">
        <f t="shared" si="29"/>
        <v>400</v>
      </c>
      <c r="J438" s="240" t="s">
        <v>269</v>
      </c>
      <c r="K438" s="373">
        <v>45973</v>
      </c>
      <c r="L438" s="42">
        <v>17</v>
      </c>
      <c r="M438" s="43"/>
      <c r="N438" s="59">
        <f>SUM(G351+G352+G364+G389+G396+G397+G410+G425+G438)/3050</f>
        <v>0.91803278688524592</v>
      </c>
      <c r="O438" s="40"/>
    </row>
    <row r="439" spans="2:16" x14ac:dyDescent="0.3">
      <c r="B439" s="32"/>
      <c r="C439" s="397">
        <v>45973</v>
      </c>
      <c r="D439" s="240" t="s">
        <v>541</v>
      </c>
      <c r="E439" s="215">
        <v>135.19999999999999</v>
      </c>
      <c r="F439" s="27" t="s">
        <v>551</v>
      </c>
      <c r="G439" s="208">
        <v>650</v>
      </c>
      <c r="H439" s="29">
        <v>0</v>
      </c>
      <c r="I439" s="29">
        <f t="shared" si="29"/>
        <v>650</v>
      </c>
      <c r="J439" s="240" t="s">
        <v>269</v>
      </c>
      <c r="K439" s="373">
        <v>45973</v>
      </c>
      <c r="L439" s="42">
        <v>19</v>
      </c>
      <c r="M439" s="43"/>
      <c r="N439" s="78">
        <f>SUM(G360+G362+G365+G439)/3926.7</f>
        <v>1</v>
      </c>
      <c r="O439" s="40"/>
      <c r="P439" s="312"/>
    </row>
    <row r="440" spans="2:16" x14ac:dyDescent="0.3">
      <c r="B440" s="32"/>
      <c r="C440" s="397">
        <v>45973</v>
      </c>
      <c r="D440" s="240" t="s">
        <v>542</v>
      </c>
      <c r="E440" s="215">
        <v>135.19999999999999</v>
      </c>
      <c r="F440" s="79" t="s">
        <v>555</v>
      </c>
      <c r="G440" s="29">
        <v>120</v>
      </c>
      <c r="H440" s="190">
        <v>24</v>
      </c>
      <c r="I440" s="29">
        <f t="shared" si="29"/>
        <v>144</v>
      </c>
      <c r="J440" s="189" t="s">
        <v>269</v>
      </c>
      <c r="K440" s="373">
        <v>45973</v>
      </c>
      <c r="L440" s="42">
        <v>15</v>
      </c>
      <c r="M440" s="135"/>
      <c r="N440" s="59">
        <f>SUM(G375+G378+G390+G398+G440)/1380</f>
        <v>0.30235507246376814</v>
      </c>
      <c r="O440" s="40"/>
    </row>
    <row r="441" spans="2:16" x14ac:dyDescent="0.3">
      <c r="B441" s="31"/>
      <c r="C441" s="397">
        <v>45989</v>
      </c>
      <c r="D441" s="240" t="s">
        <v>543</v>
      </c>
      <c r="E441" s="215">
        <v>135.19999999999999</v>
      </c>
      <c r="F441" s="27" t="s">
        <v>553</v>
      </c>
      <c r="G441" s="155">
        <v>65</v>
      </c>
      <c r="H441" s="155">
        <v>0</v>
      </c>
      <c r="I441" s="29">
        <v>65</v>
      </c>
      <c r="J441" s="192" t="s">
        <v>287</v>
      </c>
      <c r="K441" s="373">
        <v>45989</v>
      </c>
      <c r="L441" s="93">
        <v>22</v>
      </c>
      <c r="M441" s="140"/>
      <c r="N441" s="78">
        <f>SUM(G336+G347+G348+G350+G356+G359+G366+G367+G368+G381+G384+G388+G393+G394+G399+G405+G413+G417+G421+G423+G426+G427+G431+G434+G437+G441)/2500</f>
        <v>0.52331600000000011</v>
      </c>
      <c r="O441" s="40"/>
      <c r="P441" s="312"/>
    </row>
    <row r="442" spans="2:16" x14ac:dyDescent="0.3">
      <c r="B442" s="31"/>
      <c r="C442" s="397">
        <v>45989</v>
      </c>
      <c r="D442" s="240" t="s">
        <v>544</v>
      </c>
      <c r="E442" s="215">
        <v>135.19999999999999</v>
      </c>
      <c r="F442" s="159" t="s">
        <v>550</v>
      </c>
      <c r="G442" s="29">
        <v>1014.94</v>
      </c>
      <c r="H442" s="29">
        <v>0</v>
      </c>
      <c r="I442" s="52">
        <f t="shared" ref="I442:I445" si="30">G442+H442</f>
        <v>1014.94</v>
      </c>
      <c r="J442" s="195" t="s">
        <v>260</v>
      </c>
      <c r="K442" s="148">
        <v>45958</v>
      </c>
      <c r="L442" s="93">
        <v>1</v>
      </c>
      <c r="M442" s="140"/>
      <c r="N442" s="78">
        <f>SUM(G343+G354+G373+G386+G401+G415+G428+G442)/12788.25</f>
        <v>0.63492033702813144</v>
      </c>
      <c r="O442" s="40"/>
    </row>
    <row r="443" spans="2:16" x14ac:dyDescent="0.3">
      <c r="B443" s="379"/>
      <c r="C443" s="397">
        <v>45989</v>
      </c>
      <c r="D443" s="240" t="s">
        <v>545</v>
      </c>
      <c r="E443" s="215">
        <v>135.19999999999999</v>
      </c>
      <c r="F443" s="79" t="s">
        <v>478</v>
      </c>
      <c r="G443" s="29">
        <v>26</v>
      </c>
      <c r="H443" s="29">
        <v>0</v>
      </c>
      <c r="I443" s="29">
        <f t="shared" si="30"/>
        <v>26</v>
      </c>
      <c r="J443" s="195" t="s">
        <v>260</v>
      </c>
      <c r="K443" s="147">
        <v>45958</v>
      </c>
      <c r="L443" s="42">
        <v>3</v>
      </c>
      <c r="M443" s="42"/>
      <c r="N443" s="380">
        <f>SUM(G344+G355+G374+G387+G402+G416+G429+G443)/312</f>
        <v>0.66666666666666663</v>
      </c>
      <c r="O443" s="40"/>
      <c r="P443" s="312"/>
    </row>
    <row r="444" spans="2:16" x14ac:dyDescent="0.3">
      <c r="B444" s="379"/>
      <c r="C444" s="397">
        <v>45974</v>
      </c>
      <c r="D444" s="240" t="s">
        <v>559</v>
      </c>
      <c r="E444" s="215" t="s">
        <v>562</v>
      </c>
      <c r="F444" s="79" t="s">
        <v>560</v>
      </c>
      <c r="G444" s="29">
        <v>61.63</v>
      </c>
      <c r="H444" s="29">
        <v>12.33</v>
      </c>
      <c r="I444" s="29">
        <f t="shared" si="30"/>
        <v>73.960000000000008</v>
      </c>
      <c r="J444" s="195" t="s">
        <v>275</v>
      </c>
      <c r="K444" s="147">
        <v>45974</v>
      </c>
      <c r="L444" s="42">
        <v>21</v>
      </c>
      <c r="M444" s="42"/>
      <c r="N444" s="380">
        <f>SUM(G411+G418+G444)/1000</f>
        <v>0.24828999999999998</v>
      </c>
      <c r="O444" s="40"/>
      <c r="P444" s="312"/>
    </row>
    <row r="445" spans="2:16" x14ac:dyDescent="0.3">
      <c r="B445" s="379"/>
      <c r="C445" s="397">
        <v>45989</v>
      </c>
      <c r="D445" s="240" t="s">
        <v>556</v>
      </c>
      <c r="E445" s="215">
        <v>157.19999999999999</v>
      </c>
      <c r="F445" s="79" t="s">
        <v>557</v>
      </c>
      <c r="G445" s="29">
        <v>30.84</v>
      </c>
      <c r="H445" s="29">
        <v>6.17</v>
      </c>
      <c r="I445" s="29">
        <f t="shared" si="30"/>
        <v>37.01</v>
      </c>
      <c r="J445" s="195" t="s">
        <v>275</v>
      </c>
      <c r="K445" s="147">
        <v>45989</v>
      </c>
      <c r="L445" s="42">
        <v>6</v>
      </c>
      <c r="M445" s="42"/>
      <c r="N445" s="380">
        <f>SUM(G408+G409+G445)/350</f>
        <v>0.44425714285714291</v>
      </c>
      <c r="O445" s="40"/>
      <c r="P445" s="312"/>
    </row>
    <row r="446" spans="2:16" ht="13.5" thickBot="1" x14ac:dyDescent="0.35">
      <c r="B446" s="302"/>
      <c r="C446" s="102"/>
      <c r="D446" s="103"/>
      <c r="E446" s="127"/>
      <c r="F446" s="104"/>
      <c r="G446" s="50">
        <f>SUM(G434:G445)</f>
        <v>2524.6100000000006</v>
      </c>
      <c r="H446" s="50">
        <f>SUM(H434:H445)</f>
        <v>59.34</v>
      </c>
      <c r="I446" s="50">
        <f>SUM(I434:I445)</f>
        <v>2583.9500000000003</v>
      </c>
      <c r="J446" s="105"/>
      <c r="K446" s="107"/>
      <c r="L446" s="303"/>
      <c r="M446" s="304"/>
      <c r="N446" s="108"/>
      <c r="O446" s="40"/>
      <c r="P446" s="11"/>
    </row>
    <row r="447" spans="2:16" ht="26.5" thickBot="1" x14ac:dyDescent="0.35">
      <c r="B447" s="249"/>
      <c r="C447" s="210" t="s">
        <v>263</v>
      </c>
      <c r="D447" s="181" t="s">
        <v>1</v>
      </c>
      <c r="E447" s="182" t="s">
        <v>244</v>
      </c>
      <c r="F447" s="180" t="s">
        <v>243</v>
      </c>
      <c r="G447" s="183" t="s">
        <v>229</v>
      </c>
      <c r="H447" s="183" t="s">
        <v>222</v>
      </c>
      <c r="I447" s="183" t="s">
        <v>230</v>
      </c>
      <c r="J447" s="202" t="s">
        <v>262</v>
      </c>
      <c r="K447" s="184" t="s">
        <v>231</v>
      </c>
      <c r="L447" s="183" t="s">
        <v>238</v>
      </c>
      <c r="M447" s="183"/>
      <c r="N447" s="349" t="s">
        <v>249</v>
      </c>
      <c r="O447" s="40"/>
    </row>
    <row r="448" spans="2:16" x14ac:dyDescent="0.3">
      <c r="B448" s="95">
        <v>45992</v>
      </c>
      <c r="C448" s="394">
        <v>45992</v>
      </c>
      <c r="D448" s="298" t="s">
        <v>561</v>
      </c>
      <c r="E448" s="299">
        <v>157.19999999999999</v>
      </c>
      <c r="F448" s="94" t="s">
        <v>564</v>
      </c>
      <c r="G448" s="381">
        <v>8</v>
      </c>
      <c r="H448" s="339">
        <v>0</v>
      </c>
      <c r="I448" s="339">
        <v>8</v>
      </c>
      <c r="J448" s="378" t="s">
        <v>287</v>
      </c>
      <c r="K448" s="393">
        <v>45992</v>
      </c>
      <c r="L448" s="111">
        <v>6</v>
      </c>
      <c r="M448" s="274"/>
      <c r="N448" s="211">
        <f>SUM(G408+G409+G445+G448)/350</f>
        <v>0.46711428571428576</v>
      </c>
      <c r="O448" s="40"/>
    </row>
    <row r="449" spans="2:16" x14ac:dyDescent="0.3">
      <c r="B449" s="32"/>
      <c r="C449" s="394">
        <v>45995</v>
      </c>
      <c r="D449" s="298" t="s">
        <v>565</v>
      </c>
      <c r="E449" s="299">
        <v>157.19999999999999</v>
      </c>
      <c r="F449" s="27" t="s">
        <v>563</v>
      </c>
      <c r="G449" s="29">
        <v>32.950000000000003</v>
      </c>
      <c r="H449" s="29">
        <v>6.59</v>
      </c>
      <c r="I449" s="29">
        <f>G449+H449</f>
        <v>39.540000000000006</v>
      </c>
      <c r="J449" s="194" t="s">
        <v>287</v>
      </c>
      <c r="K449" s="393">
        <v>45995</v>
      </c>
      <c r="L449" s="30">
        <v>22</v>
      </c>
      <c r="M449" s="276"/>
      <c r="N449" s="59">
        <f>SUM(G336+G347+G348+G350+G356+G359+G366+G367+G368+G381+G384+G388+G393+G394+G399+G405+G413+G417+G421+G423+G426+G427+G431+G434+G437+G441+G449)/2500</f>
        <v>0.53649600000000008</v>
      </c>
      <c r="O449" s="40"/>
    </row>
    <row r="450" spans="2:16" x14ac:dyDescent="0.3">
      <c r="B450" s="32"/>
      <c r="C450" s="394">
        <v>46003</v>
      </c>
      <c r="D450" s="298" t="s">
        <v>566</v>
      </c>
      <c r="E450" s="299">
        <v>157.19999999999999</v>
      </c>
      <c r="F450" s="46" t="s">
        <v>570</v>
      </c>
      <c r="G450" s="47">
        <v>4000</v>
      </c>
      <c r="H450" s="47">
        <v>800</v>
      </c>
      <c r="I450" s="29">
        <f t="shared" ref="I450:I451" si="31">G450+H450</f>
        <v>4800</v>
      </c>
      <c r="J450" s="298" t="s">
        <v>269</v>
      </c>
      <c r="K450" s="393">
        <v>46003</v>
      </c>
      <c r="L450" s="42">
        <v>30</v>
      </c>
      <c r="M450" s="43"/>
      <c r="N450" s="59">
        <f>SUM(G450)/4880</f>
        <v>0.81967213114754101</v>
      </c>
      <c r="O450" s="40"/>
    </row>
    <row r="451" spans="2:16" x14ac:dyDescent="0.3">
      <c r="B451" s="32"/>
      <c r="C451" s="394">
        <v>46002</v>
      </c>
      <c r="D451" s="298" t="s">
        <v>567</v>
      </c>
      <c r="E451" s="299">
        <v>157.19999999999999</v>
      </c>
      <c r="F451" s="46" t="s">
        <v>571</v>
      </c>
      <c r="G451" s="47">
        <v>50</v>
      </c>
      <c r="H451" s="47">
        <v>0</v>
      </c>
      <c r="I451" s="29">
        <f t="shared" si="31"/>
        <v>50</v>
      </c>
      <c r="J451" s="298" t="s">
        <v>269</v>
      </c>
      <c r="K451" s="393">
        <v>46002</v>
      </c>
      <c r="L451" s="43">
        <v>18</v>
      </c>
      <c r="M451" s="43"/>
      <c r="N451" s="59">
        <f>SUM(G451)/5698</f>
        <v>8.775008775008775E-3</v>
      </c>
      <c r="O451" s="40"/>
    </row>
    <row r="452" spans="2:16" x14ac:dyDescent="0.3">
      <c r="B452" s="32"/>
      <c r="C452" s="394">
        <v>46002</v>
      </c>
      <c r="D452" s="298" t="s">
        <v>568</v>
      </c>
      <c r="E452" s="299">
        <v>157.19999999999999</v>
      </c>
      <c r="F452" s="46" t="s">
        <v>553</v>
      </c>
      <c r="G452" s="47">
        <v>65</v>
      </c>
      <c r="H452" s="47">
        <v>0</v>
      </c>
      <c r="I452" s="29">
        <v>65</v>
      </c>
      <c r="J452" s="298" t="s">
        <v>287</v>
      </c>
      <c r="K452" s="393">
        <v>46020</v>
      </c>
      <c r="L452" s="43">
        <v>22</v>
      </c>
      <c r="M452" s="43"/>
      <c r="N452" s="59">
        <f>SUM(G336+G347+G348+G350+G356+G359+G366+G367+G368+G381+G384+G388+G393+G394+G399+G405+G413+G417+G421+G423+G426+G427+G431+G434+G437+G441+G449+G452)/2500</f>
        <v>0.56249600000000011</v>
      </c>
      <c r="O452" s="40"/>
      <c r="P452" s="27"/>
    </row>
    <row r="453" spans="2:16" x14ac:dyDescent="0.3">
      <c r="B453" s="32"/>
      <c r="C453" s="394">
        <v>46020</v>
      </c>
      <c r="D453" s="298" t="s">
        <v>569</v>
      </c>
      <c r="E453" s="299">
        <v>157.19999999999999</v>
      </c>
      <c r="F453" s="159" t="s">
        <v>572</v>
      </c>
      <c r="G453" s="29">
        <v>1014.94</v>
      </c>
      <c r="H453" s="29">
        <v>0</v>
      </c>
      <c r="I453" s="52">
        <f t="shared" ref="I453:I456" si="32">G453+H453</f>
        <v>1014.94</v>
      </c>
      <c r="J453" s="195" t="s">
        <v>260</v>
      </c>
      <c r="K453" s="393">
        <v>46020</v>
      </c>
      <c r="L453" s="43">
        <v>1</v>
      </c>
      <c r="M453" s="43"/>
      <c r="N453" s="59">
        <f>SUM(G343+G354+G373+G386+G415+G428+G442+G453+G401)/12788.25</f>
        <v>0.71428537915664791</v>
      </c>
      <c r="O453" s="40"/>
    </row>
    <row r="454" spans="2:16" x14ac:dyDescent="0.3">
      <c r="B454" s="32"/>
      <c r="C454" s="394">
        <v>46020</v>
      </c>
      <c r="D454" s="298" t="s">
        <v>573</v>
      </c>
      <c r="E454" s="299">
        <v>157.19999999999999</v>
      </c>
      <c r="F454" s="79" t="s">
        <v>478</v>
      </c>
      <c r="G454" s="29">
        <v>26</v>
      </c>
      <c r="H454" s="29">
        <v>0</v>
      </c>
      <c r="I454" s="29">
        <f t="shared" si="32"/>
        <v>26</v>
      </c>
      <c r="J454" s="195" t="s">
        <v>260</v>
      </c>
      <c r="K454" s="393">
        <v>46020</v>
      </c>
      <c r="L454" s="43">
        <v>3</v>
      </c>
      <c r="M454" s="43"/>
      <c r="N454" s="59">
        <f>SUM(G344+G355+G374+G387+G402+G416+G429+G443+G454)/312</f>
        <v>0.75</v>
      </c>
      <c r="O454" s="40"/>
    </row>
    <row r="455" spans="2:16" x14ac:dyDescent="0.3">
      <c r="B455" s="32"/>
      <c r="C455" s="394">
        <v>46002</v>
      </c>
      <c r="D455" s="298" t="s">
        <v>575</v>
      </c>
      <c r="E455" s="299">
        <v>157.19999999999999</v>
      </c>
      <c r="F455" s="46" t="s">
        <v>577</v>
      </c>
      <c r="G455" s="47">
        <v>57.38</v>
      </c>
      <c r="H455" s="47">
        <v>11.47</v>
      </c>
      <c r="I455" s="52">
        <f t="shared" si="32"/>
        <v>68.850000000000009</v>
      </c>
      <c r="J455" s="298" t="s">
        <v>269</v>
      </c>
      <c r="K455" s="393">
        <v>46002</v>
      </c>
      <c r="L455" s="42">
        <v>8</v>
      </c>
      <c r="M455" s="43"/>
      <c r="N455" s="59">
        <f>SUM(G361+G363+G412+G455)/440</f>
        <v>0.69393181818181826</v>
      </c>
      <c r="O455" s="40"/>
    </row>
    <row r="456" spans="2:16" x14ac:dyDescent="0.3">
      <c r="B456" s="32"/>
      <c r="C456" s="394">
        <v>46002</v>
      </c>
      <c r="D456" s="298" t="s">
        <v>576</v>
      </c>
      <c r="E456" s="299">
        <v>157.5</v>
      </c>
      <c r="F456" s="46" t="s">
        <v>597</v>
      </c>
      <c r="G456" s="47">
        <v>1076.49</v>
      </c>
      <c r="H456" s="47">
        <v>0</v>
      </c>
      <c r="I456" s="52">
        <f t="shared" si="32"/>
        <v>1076.49</v>
      </c>
      <c r="J456" s="298" t="s">
        <v>269</v>
      </c>
      <c r="K456" s="393">
        <v>46002</v>
      </c>
      <c r="L456" s="43">
        <v>11</v>
      </c>
      <c r="M456" s="43"/>
      <c r="N456" s="59">
        <f>G456/1135</f>
        <v>0.94844933920704844</v>
      </c>
      <c r="O456" s="40"/>
      <c r="P456" s="319"/>
    </row>
    <row r="457" spans="2:16" ht="13.5" thickBot="1" x14ac:dyDescent="0.35">
      <c r="B457" s="72"/>
      <c r="C457" s="71"/>
      <c r="D457" s="73"/>
      <c r="E457" s="125"/>
      <c r="F457" s="74"/>
      <c r="G457" s="75">
        <f>SUM(G448:G456)</f>
        <v>6330.7599999999993</v>
      </c>
      <c r="H457" s="75">
        <f>SUM(H448:H456)</f>
        <v>818.06000000000006</v>
      </c>
      <c r="I457" s="75">
        <f>SUM(I448:I456)</f>
        <v>7148.82</v>
      </c>
      <c r="J457" s="76"/>
      <c r="K457" s="71"/>
      <c r="L457" s="77"/>
      <c r="M457" s="77"/>
      <c r="N457" s="78"/>
      <c r="O457" s="40"/>
    </row>
    <row r="458" spans="2:16" ht="26.5" thickBot="1" x14ac:dyDescent="0.35">
      <c r="B458" s="277"/>
      <c r="C458" s="207" t="s">
        <v>263</v>
      </c>
      <c r="D458" s="206" t="s">
        <v>1</v>
      </c>
      <c r="E458" s="182" t="s">
        <v>244</v>
      </c>
      <c r="F458" s="180" t="s">
        <v>243</v>
      </c>
      <c r="G458" s="183" t="s">
        <v>229</v>
      </c>
      <c r="H458" s="183" t="s">
        <v>222</v>
      </c>
      <c r="I458" s="183" t="s">
        <v>230</v>
      </c>
      <c r="J458" s="202" t="s">
        <v>262</v>
      </c>
      <c r="K458" s="184" t="s">
        <v>231</v>
      </c>
      <c r="L458" s="183" t="s">
        <v>238</v>
      </c>
      <c r="M458" s="185"/>
      <c r="N458" s="349" t="s">
        <v>249</v>
      </c>
      <c r="O458" s="40"/>
    </row>
    <row r="459" spans="2:16" x14ac:dyDescent="0.3">
      <c r="B459" s="95">
        <v>46023</v>
      </c>
      <c r="C459" s="394">
        <v>46024</v>
      </c>
      <c r="D459" s="109" t="s">
        <v>598</v>
      </c>
      <c r="E459" s="123"/>
      <c r="F459" s="96" t="s">
        <v>599</v>
      </c>
      <c r="G459" s="271">
        <v>8</v>
      </c>
      <c r="H459" s="52">
        <v>0</v>
      </c>
      <c r="I459" s="52">
        <f>SUM(G459:H459)</f>
        <v>8</v>
      </c>
      <c r="J459" s="392" t="s">
        <v>287</v>
      </c>
      <c r="K459" s="97"/>
      <c r="L459" s="111">
        <v>6</v>
      </c>
      <c r="M459" s="274"/>
      <c r="N459" s="211">
        <f>SUM(G408+G409+G445+G448+G459)/350</f>
        <v>0.48997142857142861</v>
      </c>
      <c r="O459" s="40"/>
      <c r="P459" s="11"/>
    </row>
    <row r="460" spans="2:16" x14ac:dyDescent="0.3">
      <c r="B460" s="313"/>
      <c r="C460" s="397">
        <v>46026</v>
      </c>
      <c r="D460" s="109" t="s">
        <v>601</v>
      </c>
      <c r="E460" s="299"/>
      <c r="F460" s="27" t="s">
        <v>600</v>
      </c>
      <c r="G460" s="29">
        <v>32.950000000000003</v>
      </c>
      <c r="H460" s="29">
        <v>6.59</v>
      </c>
      <c r="I460" s="52">
        <f t="shared" ref="I460:I468" si="33">SUM(G460:H460)</f>
        <v>39.540000000000006</v>
      </c>
      <c r="J460" s="194" t="s">
        <v>287</v>
      </c>
      <c r="K460" s="300"/>
      <c r="L460" s="30">
        <v>22</v>
      </c>
      <c r="M460" s="316"/>
      <c r="N460" s="317">
        <f>SUM(G336+G347+G348+G350+G356+G359+G366+G367+G368+G381+G384+G388+G393+G394+G399+G405+G413+G417+G421+G423+G426+G427+G431+G434+G437+G441+G449+G452+G460)/2500</f>
        <v>0.57567600000000008</v>
      </c>
      <c r="O460" s="40"/>
    </row>
    <row r="461" spans="2:16" s="319" customFormat="1" x14ac:dyDescent="0.3">
      <c r="B461" s="32"/>
      <c r="C461" s="397">
        <v>46029</v>
      </c>
      <c r="D461" s="109" t="s">
        <v>602</v>
      </c>
      <c r="E461" s="215"/>
      <c r="F461" s="27" t="s">
        <v>607</v>
      </c>
      <c r="G461" s="272">
        <v>24.16</v>
      </c>
      <c r="H461" s="311">
        <v>4.83</v>
      </c>
      <c r="I461" s="52">
        <f t="shared" si="33"/>
        <v>28.990000000000002</v>
      </c>
      <c r="J461" s="342" t="s">
        <v>275</v>
      </c>
      <c r="K461" s="28"/>
      <c r="L461" s="43">
        <v>22</v>
      </c>
      <c r="M461" s="273"/>
      <c r="N461" s="59">
        <f>SUM(G336+G347+G348+G350+G356+G359+G366+G367+G368+G381+G384+G388+G393+G394+G399+G405+G413+G417+G421+G423+G426+G427+G431+G434+G437+G441+G449+G452+G460+G461)/2500</f>
        <v>0.58534000000000019</v>
      </c>
      <c r="O461" s="318"/>
      <c r="P461"/>
    </row>
    <row r="462" spans="2:16" s="319" customFormat="1" x14ac:dyDescent="0.3">
      <c r="B462" s="32"/>
      <c r="C462" s="397">
        <v>46043</v>
      </c>
      <c r="D462" s="109" t="s">
        <v>603</v>
      </c>
      <c r="E462" s="215"/>
      <c r="F462" s="27" t="s">
        <v>610</v>
      </c>
      <c r="G462" s="272">
        <v>1</v>
      </c>
      <c r="H462" s="311">
        <v>0</v>
      </c>
      <c r="I462" s="52">
        <f t="shared" si="33"/>
        <v>1</v>
      </c>
      <c r="J462" s="342" t="s">
        <v>270</v>
      </c>
      <c r="K462" s="28"/>
      <c r="L462" s="43">
        <v>34</v>
      </c>
      <c r="M462" s="273"/>
      <c r="N462" s="59">
        <f>SUM(G342+G353+G371+G385+G400+G414)/100</f>
        <v>0.27</v>
      </c>
      <c r="O462" s="318"/>
      <c r="P462"/>
    </row>
    <row r="463" spans="2:16" s="319" customFormat="1" x14ac:dyDescent="0.3">
      <c r="B463" s="32"/>
      <c r="C463" s="397">
        <v>45678</v>
      </c>
      <c r="D463" s="109" t="s">
        <v>604</v>
      </c>
      <c r="E463" s="215"/>
      <c r="F463" s="27" t="s">
        <v>617</v>
      </c>
      <c r="G463" s="272">
        <v>116.06</v>
      </c>
      <c r="H463" s="311">
        <v>0</v>
      </c>
      <c r="I463" s="52">
        <f t="shared" si="33"/>
        <v>116.06</v>
      </c>
      <c r="J463" s="342" t="s">
        <v>269</v>
      </c>
      <c r="K463" s="28"/>
      <c r="L463" s="43">
        <v>22</v>
      </c>
      <c r="M463" s="273"/>
      <c r="N463" s="59">
        <f>SUM(G336+G347+G348+G350+G356+G359+G366+G367+G368+G381+G384+G388+G393+G394+G399+G405+G413+G417+G421+G423+G426+G427+G431+G434+G437+G441+G449+G452+G460+G461+G463)/2500</f>
        <v>0.6317640000000001</v>
      </c>
      <c r="O463" s="318"/>
      <c r="P463"/>
    </row>
    <row r="464" spans="2:16" x14ac:dyDescent="0.3">
      <c r="B464" s="32"/>
      <c r="C464" s="397">
        <v>46043</v>
      </c>
      <c r="D464" s="109" t="s">
        <v>605</v>
      </c>
      <c r="E464" s="215"/>
      <c r="F464" s="27" t="s">
        <v>608</v>
      </c>
      <c r="G464" s="272">
        <v>102.5</v>
      </c>
      <c r="H464" s="240">
        <v>20.5</v>
      </c>
      <c r="I464" s="52">
        <f t="shared" si="33"/>
        <v>123</v>
      </c>
      <c r="J464" s="240" t="s">
        <v>269</v>
      </c>
      <c r="K464" s="28"/>
      <c r="L464" s="42">
        <v>22</v>
      </c>
      <c r="M464" s="273"/>
      <c r="N464" s="59">
        <f>SUM(G336+G347+G348+G350+G356+G359+G366+G367+G368+G381+G384+G388+G393+G394+G399+G405+G413+G417+G421+G423+G426+G427+G431+G434+G437+G441+G449+G452+G460+G461+G463+G464)/2500</f>
        <v>0.67276400000000014</v>
      </c>
      <c r="O464" s="40"/>
    </row>
    <row r="465" spans="2:16" x14ac:dyDescent="0.3">
      <c r="B465" s="32"/>
      <c r="C465" s="397">
        <v>46043</v>
      </c>
      <c r="D465" s="109" t="s">
        <v>606</v>
      </c>
      <c r="E465" s="124"/>
      <c r="F465" s="27" t="s">
        <v>611</v>
      </c>
      <c r="G465" s="272">
        <v>269.07</v>
      </c>
      <c r="H465" s="47">
        <v>0</v>
      </c>
      <c r="I465" s="52">
        <f t="shared" si="33"/>
        <v>269.07</v>
      </c>
      <c r="J465" s="43" t="s">
        <v>269</v>
      </c>
      <c r="K465" s="28"/>
      <c r="L465" s="43">
        <v>2</v>
      </c>
      <c r="M465" s="273"/>
      <c r="N465" s="59">
        <f>SUM(G338+G383+G424+G465)/1292.52</f>
        <v>0.70682852102868809</v>
      </c>
      <c r="O465" s="40"/>
    </row>
    <row r="466" spans="2:16" x14ac:dyDescent="0.3">
      <c r="B466" s="32"/>
      <c r="C466" s="397">
        <v>45678</v>
      </c>
      <c r="D466" s="109" t="s">
        <v>609</v>
      </c>
      <c r="E466" s="124"/>
      <c r="F466" s="46" t="s">
        <v>612</v>
      </c>
      <c r="G466" s="272">
        <v>50</v>
      </c>
      <c r="H466" s="47">
        <v>0</v>
      </c>
      <c r="I466" s="52">
        <f t="shared" si="33"/>
        <v>50</v>
      </c>
      <c r="J466" s="43" t="s">
        <v>269</v>
      </c>
      <c r="K466" s="28"/>
      <c r="L466" s="43">
        <v>32</v>
      </c>
      <c r="M466" s="273"/>
      <c r="N466" s="59">
        <f>SUM(G466)/350</f>
        <v>0.14285714285714285</v>
      </c>
      <c r="O466" s="40"/>
    </row>
    <row r="467" spans="2:16" x14ac:dyDescent="0.3">
      <c r="B467" s="32"/>
      <c r="C467" s="397">
        <v>46050</v>
      </c>
      <c r="D467" s="109" t="s">
        <v>614</v>
      </c>
      <c r="E467" s="124"/>
      <c r="F467" s="154" t="s">
        <v>553</v>
      </c>
      <c r="G467" s="272">
        <v>65</v>
      </c>
      <c r="H467" s="47">
        <v>0</v>
      </c>
      <c r="I467" s="52">
        <f t="shared" si="33"/>
        <v>65</v>
      </c>
      <c r="J467" s="43" t="s">
        <v>287</v>
      </c>
      <c r="K467" s="97"/>
      <c r="L467" s="43">
        <v>22</v>
      </c>
      <c r="M467" s="273"/>
      <c r="N467" s="59">
        <f>SUM(G336+G347+G348+G350+G356+G359+G366+G367+G368+G381+G384+G388+G393+G394+G399+G405+G413+G417+G421+G423+G426+G427+G431+G434+G437+G441+G449+G452+G460+G461+G463+G464+G467)/2500</f>
        <v>0.69876400000000016</v>
      </c>
      <c r="O467" s="40"/>
    </row>
    <row r="468" spans="2:16" x14ac:dyDescent="0.3">
      <c r="B468" s="31"/>
      <c r="C468" s="397">
        <v>46050</v>
      </c>
      <c r="D468" s="109" t="s">
        <v>615</v>
      </c>
      <c r="E468" s="124"/>
      <c r="F468" s="159" t="s">
        <v>613</v>
      </c>
      <c r="G468" s="29">
        <v>1014.94</v>
      </c>
      <c r="H468" s="29">
        <v>0</v>
      </c>
      <c r="I468" s="52">
        <f t="shared" si="33"/>
        <v>1014.94</v>
      </c>
      <c r="J468" s="195" t="s">
        <v>260</v>
      </c>
      <c r="K468" s="300"/>
      <c r="L468" s="43">
        <v>1</v>
      </c>
      <c r="M468" s="43"/>
      <c r="N468" s="59">
        <f>SUM(G343+G354+G373+G386+G415+G428+G442+G453+G401+G468)/12788.25</f>
        <v>0.79365042128516439</v>
      </c>
      <c r="O468" s="40"/>
    </row>
    <row r="469" spans="2:16" x14ac:dyDescent="0.3">
      <c r="B469" s="32"/>
      <c r="C469" s="397">
        <v>46050</v>
      </c>
      <c r="D469" s="109" t="s">
        <v>616</v>
      </c>
      <c r="E469" s="215"/>
      <c r="F469" s="79" t="s">
        <v>478</v>
      </c>
      <c r="G469" s="29">
        <v>26</v>
      </c>
      <c r="H469" s="29">
        <v>0</v>
      </c>
      <c r="I469" s="29">
        <f t="shared" ref="I469" si="34">G469+H469</f>
        <v>26</v>
      </c>
      <c r="J469" s="195" t="s">
        <v>260</v>
      </c>
      <c r="K469" s="300"/>
      <c r="L469" s="43">
        <v>3</v>
      </c>
      <c r="M469" s="290"/>
      <c r="N469" s="353">
        <f>SUM(G344+G355+G374+G387+G402+G416+G429+G443+G454+G469)/312</f>
        <v>0.83333333333333337</v>
      </c>
      <c r="O469" s="40"/>
    </row>
    <row r="470" spans="2:16" ht="13.5" thickBot="1" x14ac:dyDescent="0.35">
      <c r="B470" s="34"/>
      <c r="C470" s="102"/>
      <c r="D470" s="103"/>
      <c r="E470" s="127"/>
      <c r="F470" s="104"/>
      <c r="G470" s="50">
        <f>SUM(G459:G469)</f>
        <v>1709.68</v>
      </c>
      <c r="H470" s="50">
        <f t="shared" ref="H470:I470" si="35">SUM(H459:H469)</f>
        <v>31.92</v>
      </c>
      <c r="I470" s="50">
        <f t="shared" si="35"/>
        <v>1741.6000000000001</v>
      </c>
      <c r="J470" s="105"/>
      <c r="K470" s="102"/>
      <c r="L470" s="107"/>
      <c r="M470" s="144"/>
      <c r="N470" s="108"/>
      <c r="O470" s="40"/>
      <c r="P470" s="11"/>
    </row>
    <row r="471" spans="2:16" ht="26.5" thickBot="1" x14ac:dyDescent="0.35">
      <c r="B471" s="278"/>
      <c r="C471" s="210" t="s">
        <v>263</v>
      </c>
      <c r="D471" s="181" t="s">
        <v>1</v>
      </c>
      <c r="E471" s="182" t="s">
        <v>244</v>
      </c>
      <c r="F471" s="180" t="s">
        <v>243</v>
      </c>
      <c r="G471" s="183" t="s">
        <v>229</v>
      </c>
      <c r="H471" s="183" t="s">
        <v>222</v>
      </c>
      <c r="I471" s="183" t="s">
        <v>230</v>
      </c>
      <c r="J471" s="202" t="s">
        <v>262</v>
      </c>
      <c r="K471" s="184" t="s">
        <v>231</v>
      </c>
      <c r="L471" s="183" t="s">
        <v>238</v>
      </c>
      <c r="M471" s="183"/>
      <c r="N471" s="349" t="s">
        <v>249</v>
      </c>
      <c r="O471" s="40"/>
    </row>
    <row r="472" spans="2:16" x14ac:dyDescent="0.3">
      <c r="B472" s="95">
        <v>46054</v>
      </c>
      <c r="C472" s="325"/>
      <c r="D472" s="41"/>
      <c r="E472" s="124"/>
      <c r="F472" s="27"/>
      <c r="G472" s="239"/>
      <c r="H472" s="239"/>
      <c r="I472" s="239"/>
      <c r="J472" s="326"/>
      <c r="K472" s="336"/>
      <c r="L472" s="42"/>
      <c r="M472" s="239"/>
      <c r="N472" s="244"/>
      <c r="O472" s="40"/>
    </row>
    <row r="473" spans="2:16" x14ac:dyDescent="0.3">
      <c r="B473" s="95"/>
      <c r="C473" s="97"/>
      <c r="D473" s="41"/>
      <c r="E473" s="124"/>
      <c r="F473" s="154"/>
      <c r="G473" s="29"/>
      <c r="H473" s="29"/>
      <c r="I473" s="110"/>
      <c r="J473" s="195"/>
      <c r="K473" s="28"/>
      <c r="L473" s="42"/>
      <c r="M473" s="135"/>
      <c r="N473" s="59"/>
      <c r="O473" s="40"/>
    </row>
    <row r="474" spans="2:16" x14ac:dyDescent="0.3">
      <c r="B474" s="95"/>
      <c r="C474" s="97"/>
      <c r="D474" s="41"/>
      <c r="E474" s="124"/>
      <c r="F474" s="213"/>
      <c r="G474" s="92"/>
      <c r="H474" s="92"/>
      <c r="I474" s="110"/>
      <c r="J474" s="196"/>
      <c r="K474" s="71"/>
      <c r="L474" s="93"/>
      <c r="M474" s="140"/>
      <c r="N474" s="78"/>
      <c r="O474" s="40"/>
    </row>
    <row r="475" spans="2:16" x14ac:dyDescent="0.3">
      <c r="B475" s="95"/>
      <c r="C475" s="97"/>
      <c r="D475" s="41"/>
      <c r="E475" s="124"/>
      <c r="F475" s="27"/>
      <c r="G475" s="272"/>
      <c r="H475" s="29"/>
      <c r="I475" s="29"/>
      <c r="J475" s="192"/>
      <c r="K475" s="71"/>
      <c r="L475" s="93"/>
      <c r="M475" s="140"/>
      <c r="N475" s="78"/>
      <c r="O475" s="40"/>
    </row>
    <row r="476" spans="2:16" x14ac:dyDescent="0.3">
      <c r="B476" s="95"/>
      <c r="C476" s="28"/>
      <c r="D476" s="41"/>
      <c r="E476" s="124"/>
      <c r="F476" s="27"/>
      <c r="G476" s="272"/>
      <c r="H476" s="29"/>
      <c r="I476" s="29"/>
      <c r="J476" s="192"/>
      <c r="K476" s="71"/>
      <c r="L476" s="93"/>
      <c r="M476" s="140"/>
      <c r="N476" s="78"/>
      <c r="O476" s="40"/>
    </row>
    <row r="477" spans="2:16" ht="13.5" thickBot="1" x14ac:dyDescent="0.35">
      <c r="B477" s="153"/>
      <c r="C477" s="68"/>
      <c r="D477" s="60"/>
      <c r="E477" s="122"/>
      <c r="F477" s="35"/>
      <c r="G477" s="36">
        <f>SUM(G472:G476)</f>
        <v>0</v>
      </c>
      <c r="H477" s="36">
        <f>SUM(H472:H476)</f>
        <v>0</v>
      </c>
      <c r="I477" s="36">
        <f>SUM(I472:I476)</f>
        <v>0</v>
      </c>
      <c r="J477" s="69"/>
      <c r="K477" s="68"/>
      <c r="L477" s="61"/>
      <c r="M477" s="138"/>
      <c r="N477" s="62"/>
      <c r="O477" s="67"/>
    </row>
    <row r="478" spans="2:16" ht="26.5" thickBot="1" x14ac:dyDescent="0.35">
      <c r="B478" s="209"/>
      <c r="C478" s="212" t="s">
        <v>263</v>
      </c>
      <c r="D478" s="181" t="s">
        <v>1</v>
      </c>
      <c r="E478" s="182" t="s">
        <v>244</v>
      </c>
      <c r="F478" s="180" t="s">
        <v>243</v>
      </c>
      <c r="G478" s="183" t="s">
        <v>229</v>
      </c>
      <c r="H478" s="183" t="s">
        <v>222</v>
      </c>
      <c r="I478" s="183" t="s">
        <v>230</v>
      </c>
      <c r="J478" s="202" t="s">
        <v>262</v>
      </c>
      <c r="K478" s="184" t="s">
        <v>231</v>
      </c>
      <c r="L478" s="183" t="s">
        <v>238</v>
      </c>
      <c r="M478" s="185"/>
      <c r="N478" s="349" t="s">
        <v>249</v>
      </c>
      <c r="O478" s="40"/>
    </row>
    <row r="479" spans="2:16" x14ac:dyDescent="0.3">
      <c r="B479" s="95">
        <v>46082</v>
      </c>
      <c r="C479" s="97"/>
      <c r="D479" s="41"/>
      <c r="E479" s="280"/>
      <c r="F479" s="154"/>
      <c r="G479" s="92"/>
      <c r="H479" s="92"/>
      <c r="I479" s="29"/>
      <c r="J479" s="196"/>
      <c r="K479" s="97"/>
      <c r="L479" s="93"/>
      <c r="M479" s="139"/>
      <c r="N479" s="217"/>
      <c r="O479" s="40"/>
    </row>
    <row r="480" spans="2:16" x14ac:dyDescent="0.3">
      <c r="B480" s="32"/>
      <c r="C480" s="97"/>
      <c r="D480" s="41"/>
      <c r="E480" s="280"/>
      <c r="F480" s="154"/>
      <c r="G480" s="92"/>
      <c r="H480" s="92"/>
      <c r="I480" s="29"/>
      <c r="J480" s="196"/>
      <c r="K480" s="97"/>
      <c r="L480" s="93"/>
      <c r="M480" s="142"/>
      <c r="N480" s="59"/>
      <c r="O480" s="40"/>
    </row>
    <row r="481" spans="2:15" x14ac:dyDescent="0.3">
      <c r="B481" s="32"/>
      <c r="C481" s="97"/>
      <c r="D481" s="41"/>
      <c r="E481" s="280"/>
      <c r="F481" s="27"/>
      <c r="G481" s="92"/>
      <c r="H481" s="92"/>
      <c r="I481" s="29"/>
      <c r="J481" s="196"/>
      <c r="K481" s="97"/>
      <c r="L481" s="93"/>
      <c r="M481" s="136"/>
      <c r="N481" s="59"/>
      <c r="O481" s="40"/>
    </row>
    <row r="482" spans="2:15" x14ac:dyDescent="0.3">
      <c r="B482" s="32"/>
      <c r="C482" s="97"/>
      <c r="D482" s="41"/>
      <c r="E482" s="280"/>
      <c r="F482" s="27"/>
      <c r="G482" s="92"/>
      <c r="H482" s="92"/>
      <c r="I482" s="29"/>
      <c r="J482" s="196"/>
      <c r="K482" s="97"/>
      <c r="L482" s="93"/>
      <c r="M482" s="136"/>
      <c r="N482" s="59"/>
      <c r="O482" s="40"/>
    </row>
    <row r="483" spans="2:15" x14ac:dyDescent="0.3">
      <c r="B483" s="32"/>
      <c r="C483" s="97"/>
      <c r="D483" s="41"/>
      <c r="E483" s="280"/>
      <c r="F483" s="114"/>
      <c r="G483" s="92"/>
      <c r="H483" s="92"/>
      <c r="I483" s="29"/>
      <c r="J483" s="323"/>
      <c r="K483" s="97"/>
      <c r="L483" s="93"/>
      <c r="M483" s="136"/>
      <c r="N483" s="59"/>
      <c r="O483" s="40"/>
    </row>
    <row r="484" spans="2:15" x14ac:dyDescent="0.3">
      <c r="B484" s="32"/>
      <c r="C484" s="97"/>
      <c r="D484" s="41"/>
      <c r="E484" s="280"/>
      <c r="F484" s="79"/>
      <c r="G484" s="92"/>
      <c r="H484" s="92"/>
      <c r="I484" s="239"/>
      <c r="J484" s="196"/>
      <c r="K484" s="97"/>
      <c r="L484" s="93"/>
      <c r="M484" s="137"/>
      <c r="N484" s="78"/>
      <c r="O484" s="40"/>
    </row>
    <row r="485" spans="2:15" x14ac:dyDescent="0.3">
      <c r="B485" s="32"/>
      <c r="C485" s="97"/>
      <c r="D485" s="41"/>
      <c r="E485" s="280"/>
      <c r="F485" s="159"/>
      <c r="G485" s="92"/>
      <c r="H485" s="92"/>
      <c r="I485" s="239"/>
      <c r="J485" s="196"/>
      <c r="K485" s="97"/>
      <c r="L485" s="93"/>
      <c r="M485" s="137"/>
      <c r="N485" s="78"/>
      <c r="O485" s="40"/>
    </row>
    <row r="486" spans="2:15" x14ac:dyDescent="0.3">
      <c r="B486" s="32"/>
      <c r="C486" s="97"/>
      <c r="D486" s="41"/>
      <c r="E486" s="280"/>
      <c r="F486" s="159"/>
      <c r="G486" s="92"/>
      <c r="H486" s="92"/>
      <c r="I486" s="239"/>
      <c r="J486" s="196"/>
      <c r="K486" s="97"/>
      <c r="L486" s="93"/>
      <c r="M486" s="137"/>
      <c r="N486" s="78"/>
      <c r="O486" s="40"/>
    </row>
    <row r="487" spans="2:15" x14ac:dyDescent="0.3">
      <c r="B487" s="72"/>
      <c r="C487" s="97"/>
      <c r="D487" s="41"/>
      <c r="E487" s="280"/>
      <c r="F487" s="27"/>
      <c r="G487" s="272"/>
      <c r="H487" s="29"/>
      <c r="I487" s="29"/>
      <c r="J487" s="192"/>
      <c r="K487" s="97"/>
      <c r="L487" s="93"/>
      <c r="M487" s="137"/>
      <c r="N487" s="78"/>
      <c r="O487" s="40"/>
    </row>
    <row r="488" spans="2:15" x14ac:dyDescent="0.3">
      <c r="B488" s="72"/>
      <c r="C488" s="97"/>
      <c r="D488" s="41"/>
      <c r="E488" s="280"/>
      <c r="F488" s="27"/>
      <c r="G488" s="272"/>
      <c r="H488" s="29"/>
      <c r="I488" s="29"/>
      <c r="J488" s="192"/>
      <c r="K488" s="71"/>
      <c r="L488" s="93"/>
      <c r="M488" s="137"/>
      <c r="N488" s="78"/>
      <c r="O488" s="40"/>
    </row>
    <row r="489" spans="2:15" x14ac:dyDescent="0.3">
      <c r="B489" s="72"/>
      <c r="C489" s="28"/>
      <c r="D489" s="41"/>
      <c r="E489" s="124"/>
      <c r="F489" s="74"/>
      <c r="G489" s="327"/>
      <c r="H489" s="92"/>
      <c r="I489" s="92"/>
      <c r="J489" s="309"/>
      <c r="K489" s="71"/>
      <c r="L489" s="93"/>
      <c r="M489" s="137"/>
      <c r="N489" s="78"/>
      <c r="O489" s="40"/>
    </row>
    <row r="490" spans="2:15" x14ac:dyDescent="0.3">
      <c r="B490" s="72"/>
      <c r="C490" s="28"/>
      <c r="D490" s="41"/>
      <c r="E490" s="124"/>
      <c r="F490" s="74"/>
      <c r="G490" s="327"/>
      <c r="H490" s="92"/>
      <c r="I490" s="92"/>
      <c r="J490" s="309"/>
      <c r="K490" s="71"/>
      <c r="L490" s="93"/>
      <c r="M490" s="137"/>
      <c r="N490" s="78"/>
      <c r="O490" s="40"/>
    </row>
    <row r="491" spans="2:15" x14ac:dyDescent="0.3">
      <c r="B491" s="72"/>
      <c r="C491" s="71"/>
      <c r="D491" s="41"/>
      <c r="E491" s="125"/>
      <c r="F491" s="74"/>
      <c r="G491" s="327"/>
      <c r="H491" s="92"/>
      <c r="I491" s="92"/>
      <c r="J491" s="309"/>
      <c r="K491" s="71"/>
      <c r="L491" s="93"/>
      <c r="M491" s="137"/>
      <c r="N491" s="78"/>
      <c r="O491" s="40"/>
    </row>
    <row r="492" spans="2:15" x14ac:dyDescent="0.3">
      <c r="B492" s="72"/>
      <c r="C492" s="71"/>
      <c r="D492" s="322"/>
      <c r="E492" s="215"/>
      <c r="F492" s="27"/>
      <c r="G492" s="272"/>
      <c r="H492" s="29"/>
      <c r="I492" s="29"/>
      <c r="J492" s="192"/>
      <c r="K492" s="241"/>
      <c r="L492" s="93"/>
      <c r="M492" s="137"/>
      <c r="N492" s="78"/>
      <c r="O492" s="40"/>
    </row>
    <row r="493" spans="2:15" x14ac:dyDescent="0.3">
      <c r="B493" s="72"/>
      <c r="C493" s="71"/>
      <c r="D493" s="322"/>
      <c r="E493" s="215"/>
      <c r="F493" s="27"/>
      <c r="G493" s="272"/>
      <c r="H493" s="29"/>
      <c r="I493" s="29"/>
      <c r="J493" s="192"/>
      <c r="K493" s="240"/>
      <c r="L493" s="93"/>
      <c r="M493" s="137"/>
      <c r="N493" s="78"/>
      <c r="O493" s="40"/>
    </row>
    <row r="494" spans="2:15" x14ac:dyDescent="0.3">
      <c r="B494" s="72"/>
      <c r="C494" s="71"/>
      <c r="D494" s="41"/>
      <c r="E494" s="125"/>
      <c r="F494" s="74"/>
      <c r="G494" s="327"/>
      <c r="H494" s="92"/>
      <c r="I494" s="92"/>
      <c r="J494" s="309"/>
      <c r="K494" s="71"/>
      <c r="L494" s="93"/>
      <c r="M494" s="137"/>
      <c r="N494" s="78"/>
      <c r="O494" s="40"/>
    </row>
    <row r="495" spans="2:15" x14ac:dyDescent="0.3">
      <c r="B495" s="72"/>
      <c r="C495" s="71"/>
      <c r="D495" s="41"/>
      <c r="E495" s="125"/>
      <c r="F495" s="74"/>
      <c r="G495" s="327"/>
      <c r="H495" s="92"/>
      <c r="I495" s="92"/>
      <c r="J495" s="309"/>
      <c r="K495" s="71"/>
      <c r="L495" s="93"/>
      <c r="M495" s="137"/>
      <c r="N495" s="78"/>
      <c r="O495" s="40"/>
    </row>
    <row r="496" spans="2:15" x14ac:dyDescent="0.3">
      <c r="B496" s="72"/>
      <c r="C496" s="71"/>
      <c r="D496" s="41"/>
      <c r="E496" s="125"/>
      <c r="F496" s="74"/>
      <c r="G496" s="327"/>
      <c r="H496" s="92"/>
      <c r="I496" s="92"/>
      <c r="J496" s="309"/>
      <c r="K496" s="71"/>
      <c r="L496" s="93"/>
      <c r="M496" s="137"/>
      <c r="N496" s="78"/>
      <c r="O496" s="40"/>
    </row>
    <row r="497" spans="2:15" ht="13.5" thickBot="1" x14ac:dyDescent="0.35">
      <c r="B497" s="34"/>
      <c r="C497" s="68"/>
      <c r="D497" s="60"/>
      <c r="E497" s="122"/>
      <c r="F497" s="35"/>
      <c r="G497" s="36">
        <f>SUM(G479:G496)</f>
        <v>0</v>
      </c>
      <c r="H497" s="36">
        <f>SUM(H479:H496)</f>
        <v>0</v>
      </c>
      <c r="I497" s="36">
        <f>SUM(I479:I496)</f>
        <v>0</v>
      </c>
      <c r="J497" s="69"/>
      <c r="K497" s="68"/>
      <c r="L497" s="61"/>
      <c r="M497" s="138"/>
      <c r="N497" s="62"/>
      <c r="O497" s="40"/>
    </row>
    <row r="498" spans="2:15" x14ac:dyDescent="0.3">
      <c r="C498" s="1"/>
      <c r="I498" s="26"/>
      <c r="L498" s="7"/>
      <c r="M498" s="7"/>
      <c r="N498" s="40"/>
      <c r="O498" s="40"/>
    </row>
    <row r="499" spans="2:15" x14ac:dyDescent="0.3">
      <c r="F499" s="11"/>
      <c r="I499" s="7"/>
      <c r="J499" s="1"/>
      <c r="K499"/>
      <c r="O499" s="40"/>
    </row>
    <row r="500" spans="2:15" x14ac:dyDescent="0.3">
      <c r="F500" s="11"/>
      <c r="I500" s="11">
        <f>I497+I477+I470+I457+I446+I432+I419+I403+I391+I379+I357+I345</f>
        <v>39986.350000000006</v>
      </c>
      <c r="J500" s="1"/>
      <c r="K500"/>
    </row>
    <row r="501" spans="2:15" x14ac:dyDescent="0.3">
      <c r="F501" s="11"/>
      <c r="I501" s="7"/>
      <c r="J501" s="1"/>
      <c r="K501"/>
    </row>
    <row r="502" spans="2:15" x14ac:dyDescent="0.3">
      <c r="F502" s="11"/>
      <c r="I502" s="7"/>
      <c r="J502" s="1"/>
      <c r="K502"/>
    </row>
    <row r="503" spans="2:15" x14ac:dyDescent="0.3">
      <c r="F503" s="11"/>
      <c r="G503" s="7"/>
      <c r="I503" s="7"/>
      <c r="J503" s="1"/>
      <c r="K503"/>
    </row>
    <row r="504" spans="2:15" x14ac:dyDescent="0.3">
      <c r="F504" s="11"/>
      <c r="I504" s="7"/>
      <c r="J504" s="1"/>
      <c r="K504"/>
    </row>
    <row r="505" spans="2:15" x14ac:dyDescent="0.3">
      <c r="F505" s="11"/>
      <c r="I505" s="7"/>
      <c r="J505" s="1"/>
      <c r="K505"/>
    </row>
    <row r="506" spans="2:15" x14ac:dyDescent="0.3">
      <c r="F506" s="11"/>
      <c r="I506" s="7"/>
      <c r="J506" s="1"/>
      <c r="K506"/>
    </row>
    <row r="507" spans="2:15" x14ac:dyDescent="0.3">
      <c r="F507" s="11"/>
      <c r="I507" s="7"/>
      <c r="J507" s="1"/>
      <c r="K507"/>
    </row>
    <row r="508" spans="2:15" x14ac:dyDescent="0.3">
      <c r="F508" s="11"/>
      <c r="I508" s="7"/>
      <c r="J508" s="1"/>
      <c r="K508"/>
    </row>
    <row r="509" spans="2:15" x14ac:dyDescent="0.3">
      <c r="F509" s="11"/>
      <c r="I509" s="7"/>
      <c r="J509" s="1"/>
      <c r="K509"/>
    </row>
    <row r="510" spans="2:15" x14ac:dyDescent="0.3">
      <c r="F510" s="11"/>
      <c r="I510" s="7"/>
      <c r="J510" s="1"/>
      <c r="K510"/>
    </row>
    <row r="511" spans="2:15" x14ac:dyDescent="0.3">
      <c r="F511" s="11"/>
      <c r="I511" s="7"/>
      <c r="J511" s="1"/>
      <c r="K511"/>
    </row>
    <row r="512" spans="2:15" x14ac:dyDescent="0.3">
      <c r="I512" s="7"/>
      <c r="J512" s="1"/>
      <c r="K512"/>
    </row>
    <row r="513" spans="9:11" x14ac:dyDescent="0.3">
      <c r="I513" s="7"/>
      <c r="J513" s="1"/>
      <c r="K513"/>
    </row>
    <row r="514" spans="9:11" x14ac:dyDescent="0.3">
      <c r="I514" s="7"/>
      <c r="J514" s="1"/>
      <c r="K514"/>
    </row>
    <row r="515" spans="9:11" x14ac:dyDescent="0.3">
      <c r="I515" s="7"/>
      <c r="J515" s="1"/>
      <c r="K515"/>
    </row>
    <row r="516" spans="9:11" x14ac:dyDescent="0.3">
      <c r="I516" s="7"/>
      <c r="J516" s="1"/>
      <c r="K516"/>
    </row>
    <row r="517" spans="9:11" x14ac:dyDescent="0.3">
      <c r="I517" s="7"/>
      <c r="J517" s="1"/>
      <c r="K517"/>
    </row>
  </sheetData>
  <phoneticPr fontId="3" type="noConversion"/>
  <conditionalFormatting sqref="N1:N1048576">
    <cfRule type="containsText" dxfId="51" priority="1" operator="containsText" text="Reserves">
      <formula>NOT(ISERROR(SEARCH("Reserves",N1)))</formula>
    </cfRule>
    <cfRule type="cellIs" dxfId="50" priority="2" operator="equal">
      <formula>1</formula>
    </cfRule>
    <cfRule type="cellIs" dxfId="49" priority="3" operator="between">
      <formula>0.75</formula>
      <formula>0.99</formula>
    </cfRule>
    <cfRule type="cellIs" dxfId="48" priority="4" stopIfTrue="1" operator="greaterThan">
      <formula>1</formula>
    </cfRule>
    <cfRule type="cellIs" dxfId="47" priority="5" stopIfTrue="1" operator="equal">
      <formula>1</formula>
    </cfRule>
  </conditionalFormatting>
  <conditionalFormatting sqref="N334:N497">
    <cfRule type="cellIs" dxfId="46" priority="7" stopIfTrue="1" operator="greaterThan">
      <formula>1</formula>
    </cfRule>
  </conditionalFormatting>
  <conditionalFormatting sqref="N335:N497">
    <cfRule type="cellIs" dxfId="45" priority="6" stopIfTrue="1" operator="between">
      <formula>0.75</formula>
      <formula>0.99</formula>
    </cfRule>
  </conditionalFormatting>
  <pageMargins left="0.7" right="0.7" top="0.75" bottom="0.75" header="0.3" footer="0.3"/>
  <pageSetup paperSize="6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A73-1232-4823-847D-3D083E6E2F9E}">
  <sheetPr>
    <tabColor theme="8" tint="0.59999389629810485"/>
    <pageSetUpPr fitToPage="1"/>
  </sheetPr>
  <dimension ref="B1:T516"/>
  <sheetViews>
    <sheetView topLeftCell="A333" zoomScaleNormal="100" workbookViewId="0">
      <selection activeCell="P365" sqref="P365"/>
    </sheetView>
  </sheetViews>
  <sheetFormatPr defaultRowHeight="13" x14ac:dyDescent="0.3"/>
  <cols>
    <col min="1" max="1" width="2.88671875" customWidth="1"/>
    <col min="2" max="2" width="7.44140625" bestFit="1" customWidth="1"/>
    <col min="3" max="3" width="10.5546875" customWidth="1"/>
    <col min="4" max="4" width="12" style="19" customWidth="1"/>
    <col min="5" max="5" width="10.109375" style="115" bestFit="1" customWidth="1"/>
    <col min="6" max="6" width="53.21875" customWidth="1"/>
    <col min="7" max="8" width="10.109375" style="11" bestFit="1" customWidth="1"/>
    <col min="9" max="9" width="9.5546875" style="11" bestFit="1" customWidth="1"/>
    <col min="10" max="10" width="13.5546875" style="7" customWidth="1"/>
    <col min="11" max="11" width="10.6640625" style="1" bestFit="1" customWidth="1"/>
    <col min="12" max="12" width="12.109375" customWidth="1"/>
    <col min="13" max="13" width="7.88671875" customWidth="1"/>
    <col min="14" max="14" width="9.88671875" customWidth="1"/>
    <col min="15" max="15" width="6.44140625" customWidth="1"/>
    <col min="16" max="16" width="76.6640625" customWidth="1"/>
    <col min="17" max="17" width="8.6640625" customWidth="1"/>
    <col min="18" max="18" width="10.44140625" customWidth="1"/>
    <col min="19" max="19" width="15" bestFit="1" customWidth="1"/>
  </cols>
  <sheetData>
    <row r="1" spans="3:20" hidden="1" x14ac:dyDescent="0.3">
      <c r="F1" s="5" t="s">
        <v>56</v>
      </c>
    </row>
    <row r="2" spans="3:20" s="5" customFormat="1" hidden="1" x14ac:dyDescent="0.3">
      <c r="D2" s="20"/>
      <c r="E2" s="116"/>
      <c r="G2" s="12"/>
      <c r="H2" s="12"/>
      <c r="I2" s="12"/>
      <c r="J2" s="16"/>
      <c r="K2" s="8"/>
    </row>
    <row r="3" spans="3:20" hidden="1" x14ac:dyDescent="0.3">
      <c r="C3" s="4" t="s">
        <v>0</v>
      </c>
      <c r="D3" s="19" t="s">
        <v>1</v>
      </c>
      <c r="F3" t="s">
        <v>2</v>
      </c>
      <c r="G3" s="11" t="s">
        <v>22</v>
      </c>
      <c r="H3" s="11" t="s">
        <v>23</v>
      </c>
      <c r="I3" s="11" t="s">
        <v>24</v>
      </c>
      <c r="J3" s="7" t="s">
        <v>3</v>
      </c>
      <c r="L3" t="s">
        <v>4</v>
      </c>
      <c r="Q3" s="5" t="s">
        <v>53</v>
      </c>
    </row>
    <row r="4" spans="3:20" hidden="1" x14ac:dyDescent="0.3">
      <c r="C4" s="1"/>
      <c r="N4" s="5"/>
      <c r="O4" s="5"/>
      <c r="P4" s="5"/>
      <c r="Q4" s="5">
        <v>1504.13</v>
      </c>
      <c r="R4" s="5"/>
      <c r="S4" s="5"/>
      <c r="T4" s="5"/>
    </row>
    <row r="5" spans="3:20" hidden="1" x14ac:dyDescent="0.3">
      <c r="C5" s="1">
        <v>42430</v>
      </c>
      <c r="D5" s="19">
        <v>75</v>
      </c>
      <c r="F5" t="s">
        <v>31</v>
      </c>
      <c r="G5" s="11">
        <v>30.18</v>
      </c>
      <c r="H5" s="11">
        <v>0</v>
      </c>
      <c r="I5" s="14">
        <v>30.18</v>
      </c>
      <c r="J5" s="7">
        <v>201390</v>
      </c>
      <c r="L5" s="1">
        <v>42458</v>
      </c>
      <c r="M5" s="1"/>
      <c r="N5" s="5" t="s">
        <v>14</v>
      </c>
      <c r="O5" s="5"/>
      <c r="P5" s="5"/>
      <c r="Q5" s="5" t="s">
        <v>49</v>
      </c>
      <c r="R5" s="5" t="s">
        <v>55</v>
      </c>
      <c r="S5" s="5" t="s">
        <v>54</v>
      </c>
    </row>
    <row r="6" spans="3:20" hidden="1" x14ac:dyDescent="0.3">
      <c r="C6" s="1">
        <v>42430</v>
      </c>
      <c r="D6" s="19">
        <v>76</v>
      </c>
      <c r="F6" t="s">
        <v>36</v>
      </c>
      <c r="G6" s="11">
        <v>1800</v>
      </c>
      <c r="H6" s="11">
        <v>360</v>
      </c>
      <c r="I6" s="14">
        <v>2160</v>
      </c>
      <c r="J6" s="7">
        <v>201391</v>
      </c>
      <c r="L6" s="1">
        <v>42458</v>
      </c>
      <c r="M6" s="1"/>
      <c r="N6">
        <v>64000</v>
      </c>
      <c r="Q6" t="e">
        <f>Q4-#REF!+N6+#REF!</f>
        <v>#REF!</v>
      </c>
      <c r="R6">
        <v>1301.5</v>
      </c>
      <c r="S6" t="e">
        <f>R6+Q6</f>
        <v>#REF!</v>
      </c>
    </row>
    <row r="7" spans="3:20" hidden="1" x14ac:dyDescent="0.3">
      <c r="C7" s="1">
        <v>42430</v>
      </c>
      <c r="D7" s="19">
        <v>78</v>
      </c>
      <c r="F7" t="s">
        <v>29</v>
      </c>
      <c r="G7" s="11">
        <v>46.7</v>
      </c>
      <c r="H7" s="11">
        <v>0</v>
      </c>
      <c r="I7" s="14">
        <f t="shared" ref="I7:I14" si="0">G7+H7</f>
        <v>46.7</v>
      </c>
      <c r="J7" s="7">
        <v>201392</v>
      </c>
      <c r="L7" s="1">
        <v>42458</v>
      </c>
      <c r="M7" s="1"/>
    </row>
    <row r="8" spans="3:20" hidden="1" x14ac:dyDescent="0.3">
      <c r="C8" s="1">
        <v>42430</v>
      </c>
      <c r="D8" s="19">
        <v>79</v>
      </c>
      <c r="F8" t="s">
        <v>27</v>
      </c>
      <c r="G8" s="11">
        <v>175</v>
      </c>
      <c r="H8" s="11">
        <v>35</v>
      </c>
      <c r="I8" s="14">
        <f t="shared" si="0"/>
        <v>210</v>
      </c>
      <c r="J8" s="7">
        <v>201393</v>
      </c>
      <c r="L8" s="1">
        <v>42458</v>
      </c>
      <c r="M8" s="1"/>
    </row>
    <row r="9" spans="3:20" hidden="1" x14ac:dyDescent="0.3">
      <c r="C9" s="1">
        <v>42430</v>
      </c>
      <c r="D9" s="19">
        <v>80</v>
      </c>
      <c r="F9" t="s">
        <v>30</v>
      </c>
      <c r="G9" s="11">
        <v>335</v>
      </c>
      <c r="H9" s="11">
        <v>0</v>
      </c>
      <c r="I9" s="14">
        <f t="shared" si="0"/>
        <v>335</v>
      </c>
      <c r="J9" s="7">
        <v>201394</v>
      </c>
      <c r="L9" s="1">
        <v>42458</v>
      </c>
      <c r="M9" s="1"/>
    </row>
    <row r="10" spans="3:20" hidden="1" x14ac:dyDescent="0.3">
      <c r="C10" s="1">
        <v>42430</v>
      </c>
      <c r="D10" s="19">
        <v>81</v>
      </c>
      <c r="F10" t="s">
        <v>32</v>
      </c>
      <c r="G10" s="11">
        <v>118</v>
      </c>
      <c r="H10" s="11">
        <v>0</v>
      </c>
      <c r="I10" s="14">
        <f t="shared" si="0"/>
        <v>118</v>
      </c>
      <c r="J10" s="7">
        <v>201395</v>
      </c>
      <c r="L10" s="1">
        <v>42458</v>
      </c>
      <c r="M10" s="1"/>
      <c r="Q10" t="s">
        <v>13</v>
      </c>
      <c r="R10" t="s">
        <v>14</v>
      </c>
      <c r="S10">
        <v>1504.13</v>
      </c>
    </row>
    <row r="11" spans="3:20" hidden="1" x14ac:dyDescent="0.3">
      <c r="C11" s="1">
        <v>42430</v>
      </c>
      <c r="D11" s="19">
        <v>82</v>
      </c>
      <c r="F11" t="s">
        <v>33</v>
      </c>
      <c r="G11" s="11">
        <v>402.97</v>
      </c>
      <c r="H11" s="11">
        <v>0</v>
      </c>
      <c r="I11" s="14">
        <f t="shared" si="0"/>
        <v>402.97</v>
      </c>
      <c r="J11" s="7">
        <v>201396</v>
      </c>
      <c r="L11" s="1">
        <v>42458</v>
      </c>
      <c r="M11" s="1"/>
      <c r="N11" t="s">
        <v>5</v>
      </c>
      <c r="Q11" s="2">
        <v>204</v>
      </c>
      <c r="R11">
        <v>2000</v>
      </c>
    </row>
    <row r="12" spans="3:20" hidden="1" x14ac:dyDescent="0.3">
      <c r="C12" s="1">
        <v>42430</v>
      </c>
      <c r="D12" s="19">
        <v>83</v>
      </c>
      <c r="F12" t="s">
        <v>28</v>
      </c>
      <c r="G12" s="11">
        <v>435</v>
      </c>
      <c r="H12" s="11">
        <v>87</v>
      </c>
      <c r="I12" s="14">
        <f t="shared" si="0"/>
        <v>522</v>
      </c>
      <c r="J12" s="7">
        <v>201397</v>
      </c>
      <c r="L12" s="1">
        <v>42458</v>
      </c>
      <c r="M12" s="1"/>
      <c r="N12" t="s">
        <v>7</v>
      </c>
      <c r="Q12" s="2">
        <v>320</v>
      </c>
      <c r="R12">
        <v>1000</v>
      </c>
    </row>
    <row r="13" spans="3:20" hidden="1" x14ac:dyDescent="0.3">
      <c r="C13" s="1">
        <v>42430</v>
      </c>
      <c r="D13" s="19">
        <v>84</v>
      </c>
      <c r="F13" t="s">
        <v>34</v>
      </c>
      <c r="G13" s="11">
        <v>80.42</v>
      </c>
      <c r="H13" s="11">
        <v>12.02</v>
      </c>
      <c r="I13" s="14">
        <f t="shared" si="0"/>
        <v>92.44</v>
      </c>
      <c r="J13" s="7">
        <v>201398</v>
      </c>
      <c r="L13" s="1">
        <v>42458</v>
      </c>
      <c r="M13" s="1"/>
      <c r="N13" t="s">
        <v>8</v>
      </c>
      <c r="P13" s="3"/>
      <c r="Q13" s="2">
        <v>1275.1600000000001</v>
      </c>
      <c r="R13">
        <v>1000</v>
      </c>
    </row>
    <row r="14" spans="3:20" hidden="1" x14ac:dyDescent="0.3">
      <c r="C14" s="1">
        <v>42430</v>
      </c>
      <c r="D14" s="19">
        <v>85</v>
      </c>
      <c r="F14" t="s">
        <v>35</v>
      </c>
      <c r="G14" s="11">
        <v>34</v>
      </c>
      <c r="H14" s="11">
        <v>0</v>
      </c>
      <c r="I14" s="14">
        <f t="shared" si="0"/>
        <v>34</v>
      </c>
      <c r="J14" s="7">
        <v>201399</v>
      </c>
      <c r="L14" s="1">
        <v>42458</v>
      </c>
      <c r="M14" s="1"/>
      <c r="N14" t="s">
        <v>9</v>
      </c>
      <c r="P14" s="3"/>
      <c r="Q14" s="2">
        <v>160</v>
      </c>
      <c r="S14" s="4"/>
    </row>
    <row r="15" spans="3:20" hidden="1" x14ac:dyDescent="0.3">
      <c r="C15" s="1">
        <v>42433</v>
      </c>
      <c r="D15" s="19">
        <v>86</v>
      </c>
      <c r="F15" t="s">
        <v>47</v>
      </c>
      <c r="G15" s="11">
        <v>20</v>
      </c>
      <c r="H15" s="11">
        <v>0</v>
      </c>
      <c r="I15" s="14">
        <v>20</v>
      </c>
      <c r="J15" s="7">
        <v>201501</v>
      </c>
      <c r="L15" s="1">
        <v>42458</v>
      </c>
      <c r="M15" s="1"/>
      <c r="N15" t="s">
        <v>10</v>
      </c>
      <c r="P15" s="3"/>
      <c r="Q15" s="4"/>
      <c r="R15">
        <v>44000</v>
      </c>
    </row>
    <row r="16" spans="3:20" hidden="1" x14ac:dyDescent="0.3">
      <c r="C16" s="1">
        <v>42433</v>
      </c>
      <c r="D16" s="19">
        <v>87</v>
      </c>
      <c r="F16" t="s">
        <v>21</v>
      </c>
      <c r="G16" s="11">
        <v>25</v>
      </c>
      <c r="I16" s="14">
        <f t="shared" ref="I16:I28" si="1">G16+H16</f>
        <v>25</v>
      </c>
      <c r="J16" s="7">
        <v>201502</v>
      </c>
      <c r="L16" s="1">
        <v>42458</v>
      </c>
      <c r="M16" s="1"/>
      <c r="N16" t="s">
        <v>11</v>
      </c>
      <c r="P16" s="3"/>
      <c r="Q16" s="2"/>
      <c r="R16">
        <v>2000</v>
      </c>
    </row>
    <row r="17" spans="3:18" hidden="1" x14ac:dyDescent="0.3">
      <c r="C17" s="1">
        <v>42433</v>
      </c>
      <c r="D17" s="19">
        <v>88</v>
      </c>
      <c r="F17" t="s">
        <v>6</v>
      </c>
      <c r="G17" s="11">
        <v>10</v>
      </c>
      <c r="I17" s="14">
        <f t="shared" si="1"/>
        <v>10</v>
      </c>
      <c r="J17" s="7">
        <v>201400</v>
      </c>
      <c r="L17" s="1">
        <v>42458</v>
      </c>
      <c r="M17" s="1"/>
      <c r="N17" t="s">
        <v>15</v>
      </c>
      <c r="P17" s="3"/>
      <c r="Q17" s="2"/>
      <c r="R17">
        <v>2000</v>
      </c>
    </row>
    <row r="18" spans="3:18" hidden="1" x14ac:dyDescent="0.3">
      <c r="C18" s="1">
        <v>42444</v>
      </c>
      <c r="D18" s="19">
        <v>89</v>
      </c>
      <c r="F18" t="s">
        <v>25</v>
      </c>
      <c r="G18" s="11">
        <v>12.96</v>
      </c>
      <c r="I18" s="14">
        <f t="shared" si="1"/>
        <v>12.96</v>
      </c>
      <c r="J18" s="7">
        <v>201503</v>
      </c>
      <c r="L18" s="1">
        <v>42458</v>
      </c>
      <c r="M18" s="1"/>
      <c r="N18" t="s">
        <v>16</v>
      </c>
      <c r="P18" s="3"/>
      <c r="Q18" s="2">
        <v>466</v>
      </c>
      <c r="R18">
        <v>2000</v>
      </c>
    </row>
    <row r="19" spans="3:18" hidden="1" x14ac:dyDescent="0.3">
      <c r="C19" s="1">
        <v>42444</v>
      </c>
      <c r="D19" s="19">
        <v>90</v>
      </c>
      <c r="F19" t="s">
        <v>36</v>
      </c>
      <c r="G19" s="11">
        <v>913.75</v>
      </c>
      <c r="H19" s="11">
        <v>182.75</v>
      </c>
      <c r="I19" s="14">
        <f t="shared" si="1"/>
        <v>1096.5</v>
      </c>
      <c r="J19" s="7">
        <v>201504</v>
      </c>
      <c r="L19" s="1">
        <v>42458</v>
      </c>
      <c r="M19" s="1"/>
      <c r="N19" t="s">
        <v>17</v>
      </c>
      <c r="P19" s="3"/>
      <c r="Q19" s="2">
        <v>131</v>
      </c>
      <c r="R19">
        <v>1000</v>
      </c>
    </row>
    <row r="20" spans="3:18" hidden="1" x14ac:dyDescent="0.3">
      <c r="C20" s="1">
        <v>42444</v>
      </c>
      <c r="D20" s="19">
        <v>91</v>
      </c>
      <c r="F20" t="s">
        <v>37</v>
      </c>
      <c r="G20" s="11">
        <v>70.349999999999994</v>
      </c>
      <c r="H20" s="11">
        <v>14.07</v>
      </c>
      <c r="I20" s="14">
        <f t="shared" si="1"/>
        <v>84.419999999999987</v>
      </c>
      <c r="J20" s="7">
        <v>201505</v>
      </c>
      <c r="L20" s="1">
        <v>42458</v>
      </c>
      <c r="M20" s="1"/>
      <c r="N20" t="s">
        <v>18</v>
      </c>
      <c r="P20" s="3"/>
      <c r="Q20" s="2">
        <v>760.73</v>
      </c>
      <c r="R20">
        <v>2000</v>
      </c>
    </row>
    <row r="21" spans="3:18" hidden="1" x14ac:dyDescent="0.3">
      <c r="C21" s="1">
        <v>42444</v>
      </c>
      <c r="D21" s="19">
        <v>92</v>
      </c>
      <c r="F21" t="s">
        <v>38</v>
      </c>
      <c r="G21" s="11">
        <v>26.53</v>
      </c>
      <c r="H21" s="11">
        <v>0</v>
      </c>
      <c r="I21" s="14">
        <f t="shared" si="1"/>
        <v>26.53</v>
      </c>
      <c r="J21" s="7">
        <v>201506</v>
      </c>
      <c r="L21" s="1">
        <v>42458</v>
      </c>
      <c r="M21" s="1"/>
      <c r="N21" t="s">
        <v>19</v>
      </c>
      <c r="P21" s="3"/>
      <c r="Q21" s="3">
        <v>464.34</v>
      </c>
      <c r="R21" s="3"/>
    </row>
    <row r="22" spans="3:18" hidden="1" x14ac:dyDescent="0.3">
      <c r="C22" s="1">
        <v>42444</v>
      </c>
      <c r="D22" s="19">
        <v>93</v>
      </c>
      <c r="F22" t="s">
        <v>31</v>
      </c>
      <c r="G22" s="11">
        <v>200</v>
      </c>
      <c r="H22" s="11">
        <v>0</v>
      </c>
      <c r="I22" s="14">
        <f t="shared" si="1"/>
        <v>200</v>
      </c>
      <c r="J22" s="7">
        <v>201507</v>
      </c>
      <c r="L22" s="1">
        <v>42458</v>
      </c>
      <c r="M22" s="1"/>
      <c r="N22" t="s">
        <v>20</v>
      </c>
      <c r="P22" s="3"/>
      <c r="Q22" s="3">
        <v>3199.71</v>
      </c>
      <c r="R22" s="3">
        <v>7000</v>
      </c>
    </row>
    <row r="23" spans="3:18" hidden="1" x14ac:dyDescent="0.3">
      <c r="C23" s="1">
        <v>42444</v>
      </c>
      <c r="D23" s="19">
        <v>94</v>
      </c>
      <c r="F23" t="s">
        <v>39</v>
      </c>
      <c r="G23" s="11">
        <v>180</v>
      </c>
      <c r="H23" s="11">
        <v>0</v>
      </c>
      <c r="I23" s="14">
        <f t="shared" si="1"/>
        <v>180</v>
      </c>
      <c r="J23" s="7">
        <v>201508</v>
      </c>
      <c r="L23" s="1">
        <v>42458</v>
      </c>
      <c r="M23" s="1"/>
      <c r="Q23">
        <f>SUM(Q11:Q22)</f>
        <v>6980.9400000000005</v>
      </c>
      <c r="R23">
        <f>SUM(R11:R22)</f>
        <v>64000</v>
      </c>
    </row>
    <row r="24" spans="3:18" hidden="1" x14ac:dyDescent="0.3">
      <c r="C24" s="1">
        <v>42444</v>
      </c>
      <c r="D24" s="19">
        <v>95</v>
      </c>
      <c r="F24" t="s">
        <v>39</v>
      </c>
      <c r="G24" s="11">
        <v>308</v>
      </c>
      <c r="H24" s="11">
        <v>0</v>
      </c>
      <c r="I24" s="14">
        <f t="shared" si="1"/>
        <v>308</v>
      </c>
      <c r="J24" s="7">
        <v>201508</v>
      </c>
      <c r="L24" s="1">
        <v>42458</v>
      </c>
      <c r="M24" s="1"/>
    </row>
    <row r="25" spans="3:18" hidden="1" x14ac:dyDescent="0.3">
      <c r="C25" s="1">
        <v>42444</v>
      </c>
      <c r="D25" s="19">
        <v>96</v>
      </c>
      <c r="F25" t="s">
        <v>40</v>
      </c>
      <c r="G25" s="11">
        <v>9.99</v>
      </c>
      <c r="H25" s="11">
        <v>2</v>
      </c>
      <c r="I25" s="14">
        <f t="shared" si="1"/>
        <v>11.99</v>
      </c>
      <c r="J25" s="7">
        <v>201509</v>
      </c>
      <c r="L25" s="1">
        <v>42458</v>
      </c>
      <c r="M25" s="1"/>
    </row>
    <row r="26" spans="3:18" hidden="1" x14ac:dyDescent="0.3">
      <c r="C26" s="1">
        <v>42444</v>
      </c>
      <c r="D26" s="19">
        <v>97</v>
      </c>
      <c r="F26" t="s">
        <v>41</v>
      </c>
      <c r="G26" s="11">
        <v>1675</v>
      </c>
      <c r="H26" s="11">
        <v>0</v>
      </c>
      <c r="I26" s="14">
        <f t="shared" si="1"/>
        <v>1675</v>
      </c>
      <c r="J26" s="7">
        <v>201510</v>
      </c>
      <c r="L26" s="1">
        <v>42458</v>
      </c>
      <c r="M26" s="1"/>
    </row>
    <row r="27" spans="3:18" hidden="1" x14ac:dyDescent="0.3">
      <c r="C27" s="1">
        <v>42444</v>
      </c>
      <c r="D27" s="19">
        <v>98</v>
      </c>
      <c r="F27" t="s">
        <v>42</v>
      </c>
      <c r="G27" s="11">
        <v>25</v>
      </c>
      <c r="H27" s="11">
        <v>0</v>
      </c>
      <c r="I27" s="14">
        <f t="shared" si="1"/>
        <v>25</v>
      </c>
      <c r="J27" s="7">
        <v>201511</v>
      </c>
      <c r="L27" s="1">
        <v>42458</v>
      </c>
      <c r="M27" s="1"/>
    </row>
    <row r="28" spans="3:18" hidden="1" x14ac:dyDescent="0.3">
      <c r="C28" s="1">
        <v>42444</v>
      </c>
      <c r="D28" s="19">
        <v>99</v>
      </c>
      <c r="F28" t="s">
        <v>43</v>
      </c>
      <c r="G28" s="11">
        <v>49.12</v>
      </c>
      <c r="H28" s="11">
        <v>9.83</v>
      </c>
      <c r="I28" s="14">
        <f t="shared" si="1"/>
        <v>58.949999999999996</v>
      </c>
      <c r="J28" s="7">
        <v>201512</v>
      </c>
      <c r="L28" s="1">
        <v>42458</v>
      </c>
      <c r="M28" s="1"/>
    </row>
    <row r="29" spans="3:18" hidden="1" x14ac:dyDescent="0.3">
      <c r="C29" s="1">
        <v>42444</v>
      </c>
      <c r="D29" s="19">
        <v>100</v>
      </c>
      <c r="F29" t="s">
        <v>44</v>
      </c>
      <c r="G29" s="11">
        <v>180</v>
      </c>
      <c r="H29" s="11">
        <v>0</v>
      </c>
      <c r="I29" s="14">
        <v>180</v>
      </c>
      <c r="J29" s="7">
        <v>201513</v>
      </c>
      <c r="L29" s="1">
        <v>42458</v>
      </c>
      <c r="M29" s="1"/>
    </row>
    <row r="30" spans="3:18" hidden="1" x14ac:dyDescent="0.3">
      <c r="C30" s="1">
        <v>42448</v>
      </c>
      <c r="D30" s="19">
        <v>97</v>
      </c>
      <c r="F30" t="s">
        <v>41</v>
      </c>
      <c r="G30" s="11">
        <v>1675</v>
      </c>
      <c r="H30" s="11">
        <v>0</v>
      </c>
      <c r="I30" s="11">
        <v>1675</v>
      </c>
      <c r="J30" s="7">
        <v>201514</v>
      </c>
      <c r="L30" s="1">
        <v>42458</v>
      </c>
      <c r="M30" s="1"/>
    </row>
    <row r="31" spans="3:18" hidden="1" x14ac:dyDescent="0.3">
      <c r="C31" s="1">
        <v>42448</v>
      </c>
      <c r="D31" s="19">
        <v>97</v>
      </c>
      <c r="F31" t="s">
        <v>41</v>
      </c>
      <c r="H31" s="11">
        <v>0</v>
      </c>
      <c r="J31" s="7" t="s">
        <v>46</v>
      </c>
      <c r="L31" s="1">
        <v>42458</v>
      </c>
      <c r="M31" s="1"/>
    </row>
    <row r="32" spans="3:18" hidden="1" x14ac:dyDescent="0.3">
      <c r="C32" s="1">
        <v>42448</v>
      </c>
      <c r="D32" s="19" t="s">
        <v>57</v>
      </c>
      <c r="F32" t="s">
        <v>41</v>
      </c>
      <c r="G32" s="11">
        <v>15</v>
      </c>
      <c r="H32" s="11">
        <v>0</v>
      </c>
      <c r="I32" s="11">
        <v>15</v>
      </c>
      <c r="J32" s="7" t="s">
        <v>45</v>
      </c>
      <c r="L32" s="1">
        <v>42458</v>
      </c>
      <c r="M32" s="1"/>
    </row>
    <row r="33" spans="2:19" hidden="1" x14ac:dyDescent="0.3">
      <c r="C33" s="1">
        <v>42458</v>
      </c>
      <c r="D33" s="19" t="s">
        <v>26</v>
      </c>
      <c r="F33" t="s">
        <v>50</v>
      </c>
      <c r="G33" s="11">
        <v>693</v>
      </c>
      <c r="H33" s="11">
        <v>0</v>
      </c>
      <c r="I33" s="11">
        <v>693</v>
      </c>
      <c r="J33" s="7" t="s">
        <v>26</v>
      </c>
      <c r="L33" s="1">
        <v>42458</v>
      </c>
      <c r="M33" s="1"/>
    </row>
    <row r="34" spans="2:19" hidden="1" x14ac:dyDescent="0.3">
      <c r="G34" s="11">
        <f>SUM(G5:G33)</f>
        <v>9545.9700000000012</v>
      </c>
      <c r="H34" s="11">
        <f>SUM(H5:H33)</f>
        <v>702.67000000000007</v>
      </c>
      <c r="I34" s="11">
        <f>SUM(I5:I33)</f>
        <v>10248.64</v>
      </c>
    </row>
    <row r="35" spans="2:19" hidden="1" x14ac:dyDescent="0.3"/>
    <row r="36" spans="2:19" hidden="1" x14ac:dyDescent="0.3">
      <c r="S36" s="5" t="s">
        <v>68</v>
      </c>
    </row>
    <row r="37" spans="2:19" hidden="1" x14ac:dyDescent="0.3">
      <c r="B37" s="6">
        <v>42461</v>
      </c>
      <c r="C37" s="1">
        <v>42465</v>
      </c>
      <c r="D37" s="21">
        <v>101</v>
      </c>
      <c r="E37" s="117"/>
      <c r="F37" t="s">
        <v>58</v>
      </c>
      <c r="G37" s="11">
        <v>402.97</v>
      </c>
      <c r="H37" s="11">
        <v>0</v>
      </c>
      <c r="I37" s="11">
        <f t="shared" ref="I37:I47" si="2">G37+H37</f>
        <v>402.97</v>
      </c>
      <c r="J37" s="7">
        <v>201515</v>
      </c>
      <c r="L37" s="1">
        <v>42499</v>
      </c>
      <c r="M37" s="1"/>
      <c r="N37" s="5"/>
      <c r="O37" s="5"/>
      <c r="P37" s="5"/>
      <c r="Q37" s="5" t="s">
        <v>13</v>
      </c>
      <c r="R37" s="5" t="s">
        <v>14</v>
      </c>
      <c r="S37" s="5">
        <v>497.7</v>
      </c>
    </row>
    <row r="38" spans="2:19" hidden="1" x14ac:dyDescent="0.3">
      <c r="C38" s="1">
        <v>42465</v>
      </c>
      <c r="D38" s="21">
        <v>102</v>
      </c>
      <c r="E38" s="117"/>
      <c r="F38" t="s">
        <v>59</v>
      </c>
      <c r="G38" s="11">
        <v>33</v>
      </c>
      <c r="H38" s="11">
        <v>0</v>
      </c>
      <c r="I38" s="11">
        <f t="shared" si="2"/>
        <v>33</v>
      </c>
      <c r="J38" s="7">
        <v>201516</v>
      </c>
      <c r="L38" s="1">
        <v>42499</v>
      </c>
      <c r="M38" s="1"/>
      <c r="N38" s="5" t="s">
        <v>5</v>
      </c>
      <c r="O38" s="5"/>
      <c r="Q38">
        <v>1270.08</v>
      </c>
      <c r="R38">
        <v>1000</v>
      </c>
      <c r="S38" t="e">
        <f>S37-#REF!+Q38+R38</f>
        <v>#REF!</v>
      </c>
    </row>
    <row r="39" spans="2:19" hidden="1" x14ac:dyDescent="0.3">
      <c r="C39" s="1">
        <v>42465</v>
      </c>
      <c r="D39" s="21">
        <v>103</v>
      </c>
      <c r="E39" s="117"/>
      <c r="F39" t="s">
        <v>60</v>
      </c>
      <c r="G39" s="11">
        <v>525</v>
      </c>
      <c r="H39" s="11">
        <v>105</v>
      </c>
      <c r="I39" s="11">
        <f t="shared" si="2"/>
        <v>630</v>
      </c>
      <c r="J39" s="7">
        <v>201517</v>
      </c>
      <c r="L39" s="1">
        <v>42499</v>
      </c>
      <c r="M39" s="1"/>
      <c r="N39" s="5" t="s">
        <v>7</v>
      </c>
      <c r="O39" s="5"/>
      <c r="Q39">
        <v>153.28</v>
      </c>
      <c r="R39">
        <v>9000</v>
      </c>
      <c r="S39" t="e">
        <f>S38+R39+Q39-#REF!</f>
        <v>#REF!</v>
      </c>
    </row>
    <row r="40" spans="2:19" hidden="1" x14ac:dyDescent="0.3">
      <c r="C40" s="1">
        <v>42465</v>
      </c>
      <c r="D40" s="21">
        <v>104</v>
      </c>
      <c r="E40" s="117"/>
      <c r="F40" t="s">
        <v>61</v>
      </c>
      <c r="G40" s="11">
        <v>173.34</v>
      </c>
      <c r="H40" s="11">
        <v>34.67</v>
      </c>
      <c r="I40" s="11">
        <f t="shared" si="2"/>
        <v>208.01</v>
      </c>
      <c r="J40" s="7">
        <v>201518</v>
      </c>
      <c r="L40" s="1">
        <v>42499</v>
      </c>
      <c r="M40" s="1"/>
      <c r="N40" s="5" t="s">
        <v>8</v>
      </c>
      <c r="O40" s="5"/>
      <c r="Q40">
        <v>530.44000000000005</v>
      </c>
      <c r="R40">
        <v>3000</v>
      </c>
      <c r="S40" t="e">
        <f>S39-#REF!+Q40+R40</f>
        <v>#REF!</v>
      </c>
    </row>
    <row r="41" spans="2:19" hidden="1" x14ac:dyDescent="0.3">
      <c r="C41" s="1">
        <v>42465</v>
      </c>
      <c r="D41" s="21">
        <v>105</v>
      </c>
      <c r="E41" s="117"/>
      <c r="F41" t="s">
        <v>62</v>
      </c>
      <c r="G41" s="11">
        <v>9.99</v>
      </c>
      <c r="H41" s="11">
        <v>0</v>
      </c>
      <c r="I41" s="11">
        <f t="shared" si="2"/>
        <v>9.99</v>
      </c>
      <c r="J41" s="7">
        <v>201519</v>
      </c>
      <c r="L41" s="1">
        <v>42499</v>
      </c>
      <c r="M41" s="1"/>
      <c r="N41" s="5" t="s">
        <v>9</v>
      </c>
      <c r="O41" s="5"/>
      <c r="Q41">
        <v>398.08</v>
      </c>
      <c r="R41">
        <v>2000</v>
      </c>
      <c r="S41" s="4" t="e">
        <f>S40-#REF!+Q41+R41</f>
        <v>#REF!</v>
      </c>
    </row>
    <row r="42" spans="2:19" hidden="1" x14ac:dyDescent="0.3">
      <c r="C42" s="1">
        <v>42465</v>
      </c>
      <c r="D42" s="21">
        <v>106</v>
      </c>
      <c r="E42" s="117"/>
      <c r="F42" t="s">
        <v>63</v>
      </c>
      <c r="G42" s="11">
        <v>44.62</v>
      </c>
      <c r="H42" s="11">
        <v>0</v>
      </c>
      <c r="I42" s="11">
        <f t="shared" si="2"/>
        <v>44.62</v>
      </c>
      <c r="J42" s="7">
        <v>201520</v>
      </c>
      <c r="L42" s="1">
        <v>42499</v>
      </c>
      <c r="M42" s="1"/>
      <c r="N42" s="5" t="s">
        <v>10</v>
      </c>
      <c r="O42" s="5"/>
      <c r="Q42" s="4">
        <v>382.44</v>
      </c>
      <c r="R42">
        <v>0</v>
      </c>
      <c r="S42" t="e">
        <f>S41-#REF!+Q42</f>
        <v>#REF!</v>
      </c>
    </row>
    <row r="43" spans="2:19" hidden="1" x14ac:dyDescent="0.3">
      <c r="C43" s="1">
        <v>42465</v>
      </c>
      <c r="D43" s="21">
        <v>107</v>
      </c>
      <c r="E43" s="117"/>
      <c r="F43" t="s">
        <v>35</v>
      </c>
      <c r="G43" s="11">
        <v>33</v>
      </c>
      <c r="H43" s="11">
        <v>0</v>
      </c>
      <c r="I43" s="11">
        <f t="shared" si="2"/>
        <v>33</v>
      </c>
      <c r="J43" s="7">
        <v>201521</v>
      </c>
      <c r="L43" s="1">
        <v>42499</v>
      </c>
      <c r="M43" s="1"/>
      <c r="N43" s="5" t="s">
        <v>11</v>
      </c>
      <c r="O43" s="5"/>
      <c r="Q43">
        <v>328.93</v>
      </c>
      <c r="R43">
        <v>1500</v>
      </c>
      <c r="S43" t="e">
        <f>S42-#REF!+Q43+R43</f>
        <v>#REF!</v>
      </c>
    </row>
    <row r="44" spans="2:19" hidden="1" x14ac:dyDescent="0.3">
      <c r="C44" s="1">
        <v>42473</v>
      </c>
      <c r="D44" s="21" t="s">
        <v>57</v>
      </c>
      <c r="E44" s="117"/>
      <c r="F44" t="s">
        <v>67</v>
      </c>
      <c r="G44" s="11">
        <v>15</v>
      </c>
      <c r="H44" s="11">
        <v>0</v>
      </c>
      <c r="I44" s="11">
        <f t="shared" si="2"/>
        <v>15</v>
      </c>
      <c r="J44" s="7" t="s">
        <v>57</v>
      </c>
      <c r="L44" s="1">
        <v>42499</v>
      </c>
      <c r="M44" s="1"/>
      <c r="N44" s="5" t="s">
        <v>15</v>
      </c>
      <c r="O44" s="5"/>
      <c r="Q44">
        <v>676.14</v>
      </c>
      <c r="R44">
        <v>2000</v>
      </c>
      <c r="S44" t="e">
        <f>S43-#REF!+Q44+R44</f>
        <v>#REF!</v>
      </c>
    </row>
    <row r="45" spans="2:19" hidden="1" x14ac:dyDescent="0.3">
      <c r="C45" s="1">
        <v>42473</v>
      </c>
      <c r="D45" s="21" t="s">
        <v>57</v>
      </c>
      <c r="E45" s="117"/>
      <c r="F45" t="s">
        <v>67</v>
      </c>
      <c r="G45" s="11">
        <v>1.63</v>
      </c>
      <c r="H45" s="11">
        <v>0</v>
      </c>
      <c r="I45" s="11">
        <f t="shared" si="2"/>
        <v>1.63</v>
      </c>
      <c r="J45" s="7" t="s">
        <v>57</v>
      </c>
      <c r="L45" s="1">
        <v>42499</v>
      </c>
      <c r="M45" s="1"/>
      <c r="N45" s="5" t="s">
        <v>16</v>
      </c>
      <c r="O45" s="5"/>
      <c r="Q45">
        <v>992</v>
      </c>
      <c r="R45">
        <v>0</v>
      </c>
      <c r="S45" t="e">
        <f>S44-#REF!+Q45</f>
        <v>#REF!</v>
      </c>
    </row>
    <row r="46" spans="2:19" hidden="1" x14ac:dyDescent="0.3">
      <c r="C46" s="1">
        <v>42481</v>
      </c>
      <c r="D46" s="21" t="s">
        <v>57</v>
      </c>
      <c r="E46" s="117"/>
      <c r="F46" t="s">
        <v>67</v>
      </c>
      <c r="G46" s="11">
        <v>8</v>
      </c>
      <c r="H46" s="11">
        <v>0</v>
      </c>
      <c r="I46" s="11">
        <f t="shared" si="2"/>
        <v>8</v>
      </c>
      <c r="J46" s="7" t="s">
        <v>57</v>
      </c>
      <c r="L46" s="1">
        <v>42499</v>
      </c>
      <c r="M46" s="1"/>
      <c r="N46" s="5" t="s">
        <v>17</v>
      </c>
      <c r="O46" s="5"/>
      <c r="P46" s="11"/>
      <c r="Q46" s="11">
        <v>161.6</v>
      </c>
      <c r="R46" s="11">
        <v>21500</v>
      </c>
      <c r="S46" s="11" t="e">
        <f>S45-#REF!+Q46+R46</f>
        <v>#REF!</v>
      </c>
    </row>
    <row r="47" spans="2:19" hidden="1" x14ac:dyDescent="0.3">
      <c r="C47" s="1">
        <v>42487</v>
      </c>
      <c r="D47" s="21">
        <v>103</v>
      </c>
      <c r="E47" s="117"/>
      <c r="F47" t="s">
        <v>60</v>
      </c>
      <c r="G47" s="11">
        <v>525</v>
      </c>
      <c r="H47" s="11">
        <v>105</v>
      </c>
      <c r="I47" s="11">
        <f t="shared" si="2"/>
        <v>630</v>
      </c>
      <c r="J47" s="7">
        <v>201522</v>
      </c>
      <c r="L47" s="1">
        <v>42499</v>
      </c>
      <c r="M47" s="1"/>
      <c r="N47" s="5" t="s">
        <v>18</v>
      </c>
      <c r="O47" s="5"/>
      <c r="Q47">
        <v>129.91999999999999</v>
      </c>
      <c r="R47">
        <v>2500</v>
      </c>
      <c r="S47" s="11" t="e">
        <f>S46-#REF!+Q47+R47</f>
        <v>#REF!</v>
      </c>
    </row>
    <row r="48" spans="2:19" hidden="1" x14ac:dyDescent="0.3">
      <c r="C48" s="1"/>
      <c r="D48" s="21"/>
      <c r="E48" s="117"/>
      <c r="G48" s="12">
        <f>SUM(G37:G47)</f>
        <v>1771.55</v>
      </c>
      <c r="H48" s="12">
        <f>SUM(H37:H47)</f>
        <v>244.67000000000002</v>
      </c>
      <c r="I48" s="12">
        <f>SUM(I37:I47)</f>
        <v>2016.22</v>
      </c>
      <c r="N48" s="5" t="s">
        <v>19</v>
      </c>
      <c r="O48" s="5"/>
      <c r="Q48">
        <v>765.51</v>
      </c>
      <c r="R48">
        <v>0</v>
      </c>
      <c r="S48" s="11" t="e">
        <f>S47-#REF!+Q48</f>
        <v>#REF!</v>
      </c>
    </row>
    <row r="49" spans="3:19" hidden="1" x14ac:dyDescent="0.3">
      <c r="D49" s="21"/>
      <c r="E49" s="117"/>
      <c r="N49" s="5" t="s">
        <v>20</v>
      </c>
      <c r="O49" s="5"/>
      <c r="Q49">
        <v>359.96</v>
      </c>
      <c r="R49">
        <v>3000</v>
      </c>
      <c r="S49" s="11" t="e">
        <f>S48-#REF!+Q49+R49</f>
        <v>#REF!</v>
      </c>
    </row>
    <row r="50" spans="3:19" hidden="1" x14ac:dyDescent="0.3">
      <c r="C50" s="1">
        <v>42493</v>
      </c>
      <c r="D50" s="21">
        <v>108</v>
      </c>
      <c r="E50" s="117"/>
      <c r="F50" t="s">
        <v>25</v>
      </c>
      <c r="G50" s="11">
        <v>6.6</v>
      </c>
      <c r="H50" s="11">
        <v>0</v>
      </c>
      <c r="I50" s="11">
        <v>6.6</v>
      </c>
      <c r="J50" s="7">
        <v>201523</v>
      </c>
      <c r="L50" s="1">
        <v>42528</v>
      </c>
      <c r="M50" s="1"/>
    </row>
    <row r="51" spans="3:19" hidden="1" x14ac:dyDescent="0.3">
      <c r="C51" s="1">
        <v>42493</v>
      </c>
      <c r="D51" s="21">
        <v>109</v>
      </c>
      <c r="E51" s="117"/>
      <c r="F51" t="s">
        <v>69</v>
      </c>
      <c r="G51" s="11">
        <v>30</v>
      </c>
      <c r="H51" s="11">
        <v>0</v>
      </c>
      <c r="I51" s="11">
        <v>30</v>
      </c>
      <c r="J51" s="7">
        <v>201524</v>
      </c>
      <c r="L51" s="1">
        <v>42528</v>
      </c>
      <c r="M51" s="1"/>
      <c r="Q51">
        <f>SUM(Q38:Q50)</f>
        <v>6148.38</v>
      </c>
      <c r="R51">
        <f>SUM(R38:R50)</f>
        <v>45500</v>
      </c>
    </row>
    <row r="52" spans="3:19" hidden="1" x14ac:dyDescent="0.3">
      <c r="C52" s="1">
        <v>42493</v>
      </c>
      <c r="D52" s="21">
        <v>110</v>
      </c>
      <c r="E52" s="117"/>
      <c r="F52" t="s">
        <v>70</v>
      </c>
      <c r="G52" s="11">
        <v>50</v>
      </c>
      <c r="H52" s="11">
        <v>0</v>
      </c>
      <c r="I52" s="11">
        <v>50</v>
      </c>
      <c r="J52" s="7">
        <v>201525</v>
      </c>
      <c r="L52" s="1">
        <v>42528</v>
      </c>
      <c r="M52" s="1"/>
    </row>
    <row r="53" spans="3:19" hidden="1" x14ac:dyDescent="0.3">
      <c r="C53" s="1">
        <v>42493</v>
      </c>
      <c r="D53" s="21">
        <v>111</v>
      </c>
      <c r="E53" s="117"/>
      <c r="F53" t="s">
        <v>71</v>
      </c>
      <c r="G53" s="11">
        <v>180</v>
      </c>
      <c r="H53" s="11">
        <v>0</v>
      </c>
      <c r="I53" s="11">
        <v>180</v>
      </c>
      <c r="J53" s="7">
        <v>201526</v>
      </c>
      <c r="L53" s="1">
        <v>42528</v>
      </c>
      <c r="M53" s="1"/>
    </row>
    <row r="54" spans="3:19" hidden="1" x14ac:dyDescent="0.3">
      <c r="C54" s="1">
        <v>42493</v>
      </c>
      <c r="D54" s="21">
        <v>112</v>
      </c>
      <c r="E54" s="117"/>
      <c r="F54" t="s">
        <v>72</v>
      </c>
      <c r="G54" s="11">
        <v>402.97</v>
      </c>
      <c r="H54" s="11">
        <v>0</v>
      </c>
      <c r="I54" s="11">
        <f t="shared" ref="I54:I64" si="3">G54+H54</f>
        <v>402.97</v>
      </c>
      <c r="J54" s="7">
        <v>201527</v>
      </c>
      <c r="L54" s="1">
        <v>42528</v>
      </c>
      <c r="M54" s="1"/>
    </row>
    <row r="55" spans="3:19" hidden="1" x14ac:dyDescent="0.3">
      <c r="C55" s="1">
        <v>42493</v>
      </c>
      <c r="D55" s="21">
        <v>113</v>
      </c>
      <c r="E55" s="117"/>
      <c r="F55" t="s">
        <v>73</v>
      </c>
      <c r="G55" s="11">
        <v>32.450000000000003</v>
      </c>
      <c r="H55" s="11">
        <v>0</v>
      </c>
      <c r="I55" s="11">
        <f t="shared" si="3"/>
        <v>32.450000000000003</v>
      </c>
      <c r="J55" s="7">
        <v>201528</v>
      </c>
      <c r="L55" s="1">
        <v>42528</v>
      </c>
      <c r="M55" s="1"/>
    </row>
    <row r="56" spans="3:19" hidden="1" x14ac:dyDescent="0.3">
      <c r="C56" s="1">
        <v>42493</v>
      </c>
      <c r="D56" s="21">
        <v>114</v>
      </c>
      <c r="E56" s="117"/>
      <c r="F56" t="s">
        <v>74</v>
      </c>
      <c r="G56" s="11">
        <v>100</v>
      </c>
      <c r="H56" s="11">
        <v>20</v>
      </c>
      <c r="I56" s="11">
        <f t="shared" si="3"/>
        <v>120</v>
      </c>
      <c r="J56" s="7">
        <v>201529</v>
      </c>
      <c r="L56" s="1">
        <v>42528</v>
      </c>
      <c r="M56" s="1"/>
    </row>
    <row r="57" spans="3:19" hidden="1" x14ac:dyDescent="0.3">
      <c r="C57" s="1">
        <v>42493</v>
      </c>
      <c r="D57" s="21">
        <v>115</v>
      </c>
      <c r="E57" s="117"/>
      <c r="F57" t="s">
        <v>75</v>
      </c>
      <c r="G57" s="11">
        <v>35</v>
      </c>
      <c r="H57" s="11">
        <v>0</v>
      </c>
      <c r="I57" s="11">
        <f t="shared" si="3"/>
        <v>35</v>
      </c>
      <c r="J57" s="7">
        <v>201530</v>
      </c>
      <c r="L57" s="1">
        <v>42528</v>
      </c>
      <c r="M57" s="1"/>
    </row>
    <row r="58" spans="3:19" hidden="1" x14ac:dyDescent="0.3">
      <c r="C58" s="1">
        <v>42493</v>
      </c>
      <c r="D58" s="21">
        <v>116</v>
      </c>
      <c r="E58" s="117"/>
      <c r="F58" t="s">
        <v>76</v>
      </c>
      <c r="G58" s="11">
        <v>35</v>
      </c>
      <c r="H58" s="11">
        <v>0</v>
      </c>
      <c r="I58" s="11">
        <f t="shared" si="3"/>
        <v>35</v>
      </c>
      <c r="J58" s="7">
        <v>201530</v>
      </c>
      <c r="L58" s="1">
        <v>42528</v>
      </c>
      <c r="M58" s="1"/>
    </row>
    <row r="59" spans="3:19" hidden="1" x14ac:dyDescent="0.3">
      <c r="C59" s="1">
        <v>42493</v>
      </c>
      <c r="D59" s="21">
        <v>117</v>
      </c>
      <c r="E59" s="117"/>
      <c r="F59" t="s">
        <v>77</v>
      </c>
      <c r="G59" s="11">
        <v>37.5</v>
      </c>
      <c r="H59" s="11">
        <v>0</v>
      </c>
      <c r="I59" s="11">
        <f t="shared" si="3"/>
        <v>37.5</v>
      </c>
      <c r="J59" s="7">
        <v>201531</v>
      </c>
      <c r="L59" s="10">
        <v>42555</v>
      </c>
      <c r="M59" s="10"/>
    </row>
    <row r="60" spans="3:19" hidden="1" x14ac:dyDescent="0.3">
      <c r="C60" s="1">
        <v>42493</v>
      </c>
      <c r="D60" s="21">
        <v>118</v>
      </c>
      <c r="E60" s="117"/>
      <c r="F60" t="s">
        <v>78</v>
      </c>
      <c r="G60" s="11">
        <v>42</v>
      </c>
      <c r="H60" s="11">
        <v>0</v>
      </c>
      <c r="I60" s="11">
        <f t="shared" si="3"/>
        <v>42</v>
      </c>
      <c r="J60" s="7">
        <v>201532</v>
      </c>
      <c r="L60" s="9"/>
      <c r="M60" s="9"/>
    </row>
    <row r="61" spans="3:19" hidden="1" x14ac:dyDescent="0.3">
      <c r="C61" s="1">
        <v>42493</v>
      </c>
      <c r="D61" s="21">
        <v>119</v>
      </c>
      <c r="E61" s="117"/>
      <c r="F61" t="s">
        <v>79</v>
      </c>
      <c r="G61" s="11">
        <v>6150</v>
      </c>
      <c r="H61" s="11">
        <v>1230</v>
      </c>
      <c r="I61" s="11">
        <f t="shared" si="3"/>
        <v>7380</v>
      </c>
      <c r="J61" s="7">
        <v>201533</v>
      </c>
      <c r="L61" s="1">
        <v>42528</v>
      </c>
      <c r="M61" s="1"/>
    </row>
    <row r="62" spans="3:19" hidden="1" x14ac:dyDescent="0.3">
      <c r="C62" s="1">
        <v>42493</v>
      </c>
      <c r="D62" s="21">
        <v>120</v>
      </c>
      <c r="E62" s="117"/>
      <c r="F62" t="s">
        <v>80</v>
      </c>
      <c r="G62" s="11">
        <v>278</v>
      </c>
      <c r="H62" s="11">
        <v>0</v>
      </c>
      <c r="I62" s="11">
        <f t="shared" si="3"/>
        <v>278</v>
      </c>
      <c r="J62" s="7">
        <v>201534</v>
      </c>
      <c r="L62" s="1">
        <v>42528</v>
      </c>
      <c r="M62" s="1"/>
    </row>
    <row r="63" spans="3:19" hidden="1" x14ac:dyDescent="0.3">
      <c r="C63" s="1">
        <v>42493</v>
      </c>
      <c r="D63" s="21">
        <v>121</v>
      </c>
      <c r="E63" s="117"/>
      <c r="F63" t="s">
        <v>81</v>
      </c>
      <c r="G63" s="11">
        <v>286.5</v>
      </c>
      <c r="H63" s="11">
        <v>57.3</v>
      </c>
      <c r="I63" s="11">
        <f t="shared" si="3"/>
        <v>343.8</v>
      </c>
      <c r="J63" s="7">
        <v>201535</v>
      </c>
      <c r="L63" s="1">
        <v>42528</v>
      </c>
      <c r="M63" s="1"/>
    </row>
    <row r="64" spans="3:19" hidden="1" x14ac:dyDescent="0.3">
      <c r="C64" s="1">
        <v>42493</v>
      </c>
      <c r="D64" s="21">
        <v>125</v>
      </c>
      <c r="E64" s="117"/>
      <c r="F64" t="s">
        <v>82</v>
      </c>
      <c r="G64" s="11">
        <v>395.03</v>
      </c>
      <c r="H64" s="11">
        <v>19.75</v>
      </c>
      <c r="I64" s="11">
        <f t="shared" si="3"/>
        <v>414.78</v>
      </c>
      <c r="J64" s="7">
        <v>201536</v>
      </c>
      <c r="L64" s="10">
        <v>42555</v>
      </c>
      <c r="M64" s="10"/>
    </row>
    <row r="65" spans="3:13" hidden="1" x14ac:dyDescent="0.3">
      <c r="D65" s="21"/>
      <c r="E65" s="117"/>
      <c r="G65" s="12">
        <f>SUM(G50:G64)</f>
        <v>8061.05</v>
      </c>
      <c r="H65" s="12">
        <f>SUM(H50:H64)</f>
        <v>1327.05</v>
      </c>
      <c r="I65" s="12">
        <f>SUM(I50:I64)</f>
        <v>9388.1</v>
      </c>
    </row>
    <row r="66" spans="3:13" hidden="1" x14ac:dyDescent="0.3">
      <c r="D66" s="21"/>
      <c r="E66" s="117"/>
    </row>
    <row r="67" spans="3:13" hidden="1" x14ac:dyDescent="0.3">
      <c r="C67" s="1">
        <v>42528</v>
      </c>
      <c r="D67" s="21">
        <v>122</v>
      </c>
      <c r="E67" s="117"/>
      <c r="F67" t="s">
        <v>83</v>
      </c>
      <c r="G67" s="11">
        <v>300</v>
      </c>
      <c r="H67" s="11">
        <v>0</v>
      </c>
      <c r="I67" s="11">
        <f t="shared" ref="I67:I78" si="4">G67+H67</f>
        <v>300</v>
      </c>
      <c r="J67" s="7">
        <v>201537</v>
      </c>
      <c r="L67" s="1">
        <v>42555</v>
      </c>
      <c r="M67" s="1"/>
    </row>
    <row r="68" spans="3:13" hidden="1" x14ac:dyDescent="0.3">
      <c r="C68" s="1">
        <v>42528</v>
      </c>
      <c r="D68" s="21">
        <v>123</v>
      </c>
      <c r="E68" s="117"/>
      <c r="F68" t="s">
        <v>25</v>
      </c>
      <c r="G68" s="11">
        <v>19.8</v>
      </c>
      <c r="H68" s="11">
        <v>0</v>
      </c>
      <c r="I68" s="11">
        <f t="shared" si="4"/>
        <v>19.8</v>
      </c>
      <c r="J68" s="7">
        <v>201538</v>
      </c>
      <c r="L68" s="1">
        <v>42555</v>
      </c>
      <c r="M68" s="1"/>
    </row>
    <row r="69" spans="3:13" hidden="1" x14ac:dyDescent="0.3">
      <c r="C69" s="1">
        <v>42528</v>
      </c>
      <c r="D69" s="21">
        <v>124</v>
      </c>
      <c r="E69" s="117"/>
      <c r="F69" t="s">
        <v>84</v>
      </c>
      <c r="G69" s="11">
        <v>15</v>
      </c>
      <c r="H69" s="11">
        <v>0</v>
      </c>
      <c r="I69" s="11">
        <f t="shared" si="4"/>
        <v>15</v>
      </c>
      <c r="J69" s="7">
        <v>201539</v>
      </c>
      <c r="L69" s="1">
        <v>42585</v>
      </c>
      <c r="M69" s="1"/>
    </row>
    <row r="70" spans="3:13" hidden="1" x14ac:dyDescent="0.3">
      <c r="C70" s="1">
        <v>42528</v>
      </c>
      <c r="D70" s="21">
        <v>126</v>
      </c>
      <c r="E70" s="117"/>
      <c r="F70" t="s">
        <v>85</v>
      </c>
      <c r="G70" s="11">
        <v>167.19</v>
      </c>
      <c r="H70" s="11">
        <v>33.44</v>
      </c>
      <c r="I70" s="11">
        <f t="shared" si="4"/>
        <v>200.63</v>
      </c>
      <c r="J70" s="7">
        <v>201540</v>
      </c>
      <c r="L70" s="1">
        <v>42555</v>
      </c>
      <c r="M70" s="1"/>
    </row>
    <row r="71" spans="3:13" hidden="1" x14ac:dyDescent="0.3">
      <c r="C71" s="1">
        <v>42528</v>
      </c>
      <c r="D71" s="21">
        <v>127</v>
      </c>
      <c r="E71" s="117"/>
      <c r="F71" t="s">
        <v>86</v>
      </c>
      <c r="G71" s="11">
        <v>185</v>
      </c>
      <c r="H71" s="11">
        <v>37</v>
      </c>
      <c r="I71" s="11">
        <f t="shared" si="4"/>
        <v>222</v>
      </c>
      <c r="J71" s="7">
        <v>201541</v>
      </c>
      <c r="L71" s="1">
        <v>42555</v>
      </c>
      <c r="M71" s="1"/>
    </row>
    <row r="72" spans="3:13" hidden="1" x14ac:dyDescent="0.3">
      <c r="C72" s="1">
        <v>42528</v>
      </c>
      <c r="D72" s="21">
        <v>128</v>
      </c>
      <c r="E72" s="117"/>
      <c r="F72" t="s">
        <v>87</v>
      </c>
      <c r="G72" s="11">
        <v>41.3</v>
      </c>
      <c r="H72" s="11">
        <v>8.26</v>
      </c>
      <c r="I72" s="11">
        <f t="shared" si="4"/>
        <v>49.559999999999995</v>
      </c>
      <c r="J72" s="7">
        <v>201542</v>
      </c>
      <c r="L72" s="1">
        <v>42555</v>
      </c>
      <c r="M72" s="1"/>
    </row>
    <row r="73" spans="3:13" hidden="1" x14ac:dyDescent="0.3">
      <c r="C73" s="1">
        <v>42528</v>
      </c>
      <c r="D73" s="21">
        <v>129</v>
      </c>
      <c r="E73" s="117"/>
      <c r="F73" t="s">
        <v>88</v>
      </c>
      <c r="G73" s="11">
        <v>402.97</v>
      </c>
      <c r="H73" s="11">
        <v>0</v>
      </c>
      <c r="I73" s="11">
        <f t="shared" si="4"/>
        <v>402.97</v>
      </c>
      <c r="J73" s="7">
        <v>201543</v>
      </c>
      <c r="L73" s="1">
        <v>42555</v>
      </c>
      <c r="M73" s="1"/>
    </row>
    <row r="74" spans="3:13" hidden="1" x14ac:dyDescent="0.3">
      <c r="C74" s="1">
        <v>42528</v>
      </c>
      <c r="D74" s="21">
        <v>130</v>
      </c>
      <c r="E74" s="117"/>
      <c r="F74" t="s">
        <v>89</v>
      </c>
      <c r="G74" s="11">
        <v>230</v>
      </c>
      <c r="H74" s="11">
        <v>0</v>
      </c>
      <c r="I74" s="11">
        <f t="shared" si="4"/>
        <v>230</v>
      </c>
      <c r="J74" s="7">
        <v>201544</v>
      </c>
      <c r="L74" s="1">
        <v>42555</v>
      </c>
      <c r="M74" s="1"/>
    </row>
    <row r="75" spans="3:13" hidden="1" x14ac:dyDescent="0.3">
      <c r="C75" s="1">
        <v>42528</v>
      </c>
      <c r="D75" s="21">
        <v>131</v>
      </c>
      <c r="E75" s="117"/>
      <c r="F75" t="s">
        <v>90</v>
      </c>
      <c r="G75" s="11">
        <v>604</v>
      </c>
      <c r="H75" s="11">
        <v>0</v>
      </c>
      <c r="I75" s="11">
        <f t="shared" si="4"/>
        <v>604</v>
      </c>
      <c r="J75" s="7">
        <v>201545</v>
      </c>
      <c r="L75" s="1">
        <v>42555</v>
      </c>
      <c r="M75" s="1"/>
    </row>
    <row r="76" spans="3:13" hidden="1" x14ac:dyDescent="0.3">
      <c r="C76" s="1">
        <v>42528</v>
      </c>
      <c r="D76" s="21">
        <v>132</v>
      </c>
      <c r="E76" s="117"/>
      <c r="F76" t="s">
        <v>91</v>
      </c>
      <c r="G76" s="11">
        <v>12.25</v>
      </c>
      <c r="H76" s="11">
        <v>0</v>
      </c>
      <c r="I76" s="11">
        <f t="shared" si="4"/>
        <v>12.25</v>
      </c>
      <c r="J76" s="7">
        <v>201547</v>
      </c>
      <c r="L76" s="1">
        <v>42585</v>
      </c>
      <c r="M76" s="1"/>
    </row>
    <row r="77" spans="3:13" hidden="1" x14ac:dyDescent="0.3">
      <c r="C77" s="1">
        <v>42528</v>
      </c>
      <c r="D77" s="21">
        <v>133</v>
      </c>
      <c r="E77" s="117"/>
      <c r="F77" t="s">
        <v>92</v>
      </c>
      <c r="G77" s="11">
        <v>40.25</v>
      </c>
      <c r="H77" s="11">
        <v>0</v>
      </c>
      <c r="I77" s="11">
        <f t="shared" si="4"/>
        <v>40.25</v>
      </c>
      <c r="J77" s="7">
        <v>201548</v>
      </c>
      <c r="L77" s="9">
        <v>42646</v>
      </c>
      <c r="M77" s="9"/>
    </row>
    <row r="78" spans="3:13" hidden="1" x14ac:dyDescent="0.3">
      <c r="C78" s="1">
        <v>42528</v>
      </c>
      <c r="D78" s="21">
        <v>119</v>
      </c>
      <c r="E78" s="117"/>
      <c r="F78" t="s">
        <v>79</v>
      </c>
      <c r="G78" s="11">
        <v>500</v>
      </c>
      <c r="H78" s="11">
        <v>100</v>
      </c>
      <c r="I78" s="11">
        <f t="shared" si="4"/>
        <v>600</v>
      </c>
      <c r="J78" s="7">
        <v>201546</v>
      </c>
      <c r="L78" s="1">
        <v>42585</v>
      </c>
      <c r="M78" s="1"/>
    </row>
    <row r="79" spans="3:13" s="5" customFormat="1" hidden="1" x14ac:dyDescent="0.3">
      <c r="D79" s="22"/>
      <c r="E79" s="113"/>
      <c r="G79" s="12">
        <f>SUM(G67:G78)</f>
        <v>2517.7600000000002</v>
      </c>
      <c r="H79" s="12">
        <f>SUM(H67:H78)</f>
        <v>178.7</v>
      </c>
      <c r="I79" s="12">
        <f>SUM(I67:I78)</f>
        <v>2696.46</v>
      </c>
      <c r="J79" s="16"/>
      <c r="K79" s="8"/>
    </row>
    <row r="80" spans="3:13" hidden="1" x14ac:dyDescent="0.3">
      <c r="C80" s="1">
        <v>42555</v>
      </c>
      <c r="D80" s="21">
        <v>134</v>
      </c>
      <c r="E80" s="117"/>
      <c r="F80" t="s">
        <v>88</v>
      </c>
      <c r="G80" s="11">
        <v>405.36</v>
      </c>
      <c r="H80" s="11">
        <v>0</v>
      </c>
      <c r="I80" s="11">
        <f>G80+H80</f>
        <v>405.36</v>
      </c>
      <c r="J80" s="7">
        <v>201549</v>
      </c>
      <c r="L80" s="1">
        <v>42585</v>
      </c>
      <c r="M80" s="1"/>
    </row>
    <row r="81" spans="3:13" hidden="1" x14ac:dyDescent="0.3">
      <c r="C81" s="1">
        <v>42555</v>
      </c>
      <c r="D81" s="21">
        <v>134</v>
      </c>
      <c r="E81" s="117"/>
      <c r="F81" t="s">
        <v>103</v>
      </c>
      <c r="G81" s="11">
        <v>9.09</v>
      </c>
      <c r="H81" s="11">
        <v>0</v>
      </c>
      <c r="I81" s="11">
        <v>9.09</v>
      </c>
      <c r="J81" s="7">
        <v>201549</v>
      </c>
      <c r="L81" s="1">
        <v>42585</v>
      </c>
      <c r="M81" s="1"/>
    </row>
    <row r="82" spans="3:13" hidden="1" x14ac:dyDescent="0.3">
      <c r="C82" s="1">
        <v>42555</v>
      </c>
      <c r="D82" s="21">
        <v>135</v>
      </c>
      <c r="E82" s="117"/>
      <c r="F82" t="s">
        <v>93</v>
      </c>
      <c r="G82" s="11">
        <v>20.38</v>
      </c>
      <c r="H82" s="11">
        <v>4.08</v>
      </c>
      <c r="I82" s="11">
        <f t="shared" ref="I82:I93" si="5">G82+H82</f>
        <v>24.46</v>
      </c>
      <c r="J82" s="7">
        <v>201550</v>
      </c>
      <c r="L82" s="1">
        <v>42585</v>
      </c>
      <c r="M82" s="1"/>
    </row>
    <row r="83" spans="3:13" hidden="1" x14ac:dyDescent="0.3">
      <c r="C83" s="1">
        <v>42555</v>
      </c>
      <c r="D83" s="21">
        <v>136</v>
      </c>
      <c r="E83" s="117"/>
      <c r="F83" t="s">
        <v>94</v>
      </c>
      <c r="G83" s="11">
        <v>44.58</v>
      </c>
      <c r="H83" s="11">
        <v>8.92</v>
      </c>
      <c r="I83" s="11">
        <f t="shared" si="5"/>
        <v>53.5</v>
      </c>
      <c r="J83" s="7">
        <v>201551</v>
      </c>
      <c r="L83" s="1">
        <v>42585</v>
      </c>
      <c r="M83" s="1"/>
    </row>
    <row r="84" spans="3:13" hidden="1" x14ac:dyDescent="0.3">
      <c r="C84" s="1">
        <v>42555</v>
      </c>
      <c r="D84" s="21">
        <v>137</v>
      </c>
      <c r="E84" s="117"/>
      <c r="F84" t="s">
        <v>39</v>
      </c>
      <c r="G84" s="11">
        <v>180</v>
      </c>
      <c r="H84" s="11">
        <v>0</v>
      </c>
      <c r="I84" s="11">
        <f t="shared" si="5"/>
        <v>180</v>
      </c>
      <c r="J84" s="7">
        <v>201552</v>
      </c>
      <c r="L84" s="1">
        <v>42585</v>
      </c>
      <c r="M84" s="1"/>
    </row>
    <row r="85" spans="3:13" hidden="1" x14ac:dyDescent="0.3">
      <c r="C85" s="1">
        <v>42555</v>
      </c>
      <c r="D85" s="21">
        <v>138</v>
      </c>
      <c r="E85" s="117"/>
      <c r="F85" t="s">
        <v>95</v>
      </c>
      <c r="G85" s="11">
        <v>185</v>
      </c>
      <c r="H85" s="11">
        <v>37</v>
      </c>
      <c r="I85" s="11">
        <f t="shared" si="5"/>
        <v>222</v>
      </c>
      <c r="J85" s="7">
        <v>201553</v>
      </c>
      <c r="L85" s="1">
        <v>42585</v>
      </c>
      <c r="M85" s="1"/>
    </row>
    <row r="86" spans="3:13" hidden="1" x14ac:dyDescent="0.3">
      <c r="C86" s="1">
        <v>42555</v>
      </c>
      <c r="D86" s="21">
        <v>139</v>
      </c>
      <c r="E86" s="117"/>
      <c r="F86" t="s">
        <v>78</v>
      </c>
      <c r="G86" s="11">
        <v>157.51</v>
      </c>
      <c r="H86" s="11">
        <v>0</v>
      </c>
      <c r="I86" s="11">
        <f t="shared" si="5"/>
        <v>157.51</v>
      </c>
      <c r="J86" s="7">
        <v>201562</v>
      </c>
      <c r="L86" s="1">
        <v>42585</v>
      </c>
      <c r="M86" s="1"/>
    </row>
    <row r="87" spans="3:13" hidden="1" x14ac:dyDescent="0.3">
      <c r="C87" s="1">
        <v>42555</v>
      </c>
      <c r="D87" s="21">
        <v>140</v>
      </c>
      <c r="E87" s="117"/>
      <c r="F87" t="s">
        <v>96</v>
      </c>
      <c r="G87" s="11">
        <v>255.52</v>
      </c>
      <c r="H87" s="11">
        <v>51.1</v>
      </c>
      <c r="I87" s="11">
        <f t="shared" si="5"/>
        <v>306.62</v>
      </c>
      <c r="J87" s="7">
        <v>201555</v>
      </c>
      <c r="L87" s="1">
        <v>42585</v>
      </c>
      <c r="M87" s="1"/>
    </row>
    <row r="88" spans="3:13" hidden="1" x14ac:dyDescent="0.3">
      <c r="C88" s="1">
        <v>42555</v>
      </c>
      <c r="D88" s="21">
        <v>141</v>
      </c>
      <c r="E88" s="117"/>
      <c r="F88" t="s">
        <v>97</v>
      </c>
      <c r="G88" s="11">
        <v>20.2</v>
      </c>
      <c r="H88" s="11">
        <v>4.05</v>
      </c>
      <c r="I88" s="11">
        <f t="shared" si="5"/>
        <v>24.25</v>
      </c>
      <c r="J88" s="7">
        <v>201556</v>
      </c>
      <c r="L88" s="1">
        <v>42585</v>
      </c>
      <c r="M88" s="1"/>
    </row>
    <row r="89" spans="3:13" hidden="1" x14ac:dyDescent="0.3">
      <c r="C89" s="1">
        <v>42555</v>
      </c>
      <c r="D89" s="21">
        <v>142</v>
      </c>
      <c r="E89" s="117"/>
      <c r="F89" t="s">
        <v>98</v>
      </c>
      <c r="G89" s="11">
        <v>41.32</v>
      </c>
      <c r="H89" s="11">
        <v>0</v>
      </c>
      <c r="I89" s="11">
        <f t="shared" si="5"/>
        <v>41.32</v>
      </c>
      <c r="J89" s="7">
        <v>201557</v>
      </c>
      <c r="L89" s="1">
        <v>42585</v>
      </c>
      <c r="M89" s="1"/>
    </row>
    <row r="90" spans="3:13" hidden="1" x14ac:dyDescent="0.3">
      <c r="C90" s="1">
        <v>42555</v>
      </c>
      <c r="D90" s="21">
        <v>143</v>
      </c>
      <c r="E90" s="117"/>
      <c r="F90" t="s">
        <v>99</v>
      </c>
      <c r="G90" s="11">
        <v>335</v>
      </c>
      <c r="H90" s="11">
        <v>0</v>
      </c>
      <c r="I90" s="11">
        <f t="shared" si="5"/>
        <v>335</v>
      </c>
      <c r="J90" s="7">
        <v>201558</v>
      </c>
      <c r="L90" s="1">
        <v>42585</v>
      </c>
      <c r="M90" s="1"/>
    </row>
    <row r="91" spans="3:13" hidden="1" x14ac:dyDescent="0.3">
      <c r="C91" s="1">
        <v>42555</v>
      </c>
      <c r="D91" s="21">
        <v>144</v>
      </c>
      <c r="E91" s="117"/>
      <c r="F91" t="s">
        <v>100</v>
      </c>
      <c r="G91" s="11">
        <v>5</v>
      </c>
      <c r="H91" s="11">
        <v>0</v>
      </c>
      <c r="I91" s="11">
        <f t="shared" si="5"/>
        <v>5</v>
      </c>
      <c r="J91" s="7">
        <v>201559</v>
      </c>
      <c r="L91" s="9">
        <v>42618</v>
      </c>
      <c r="M91" s="9"/>
    </row>
    <row r="92" spans="3:13" hidden="1" x14ac:dyDescent="0.3">
      <c r="C92" s="1">
        <v>42555</v>
      </c>
      <c r="D92" s="21">
        <v>145</v>
      </c>
      <c r="E92" s="117"/>
      <c r="F92" t="s">
        <v>101</v>
      </c>
      <c r="G92" s="11">
        <v>103</v>
      </c>
      <c r="H92" s="11">
        <v>0</v>
      </c>
      <c r="I92" s="11">
        <f t="shared" si="5"/>
        <v>103</v>
      </c>
      <c r="J92" s="7">
        <v>201560</v>
      </c>
      <c r="L92" s="1">
        <v>42585</v>
      </c>
      <c r="M92" s="1"/>
    </row>
    <row r="93" spans="3:13" hidden="1" x14ac:dyDescent="0.3">
      <c r="C93" s="1">
        <v>42555</v>
      </c>
      <c r="D93" s="21">
        <v>146</v>
      </c>
      <c r="E93" s="117"/>
      <c r="F93" t="s">
        <v>102</v>
      </c>
      <c r="G93" s="11">
        <v>27.5</v>
      </c>
      <c r="H93" s="11">
        <v>0</v>
      </c>
      <c r="I93" s="11">
        <f t="shared" si="5"/>
        <v>27.5</v>
      </c>
      <c r="J93" s="7">
        <v>201561</v>
      </c>
      <c r="L93" s="1">
        <v>42585</v>
      </c>
      <c r="M93" s="1"/>
    </row>
    <row r="94" spans="3:13" hidden="1" x14ac:dyDescent="0.3">
      <c r="C94" s="1"/>
      <c r="D94" s="21"/>
      <c r="E94" s="117"/>
      <c r="G94" s="12">
        <f>SUM(G80:G93)</f>
        <v>1789.46</v>
      </c>
      <c r="H94" s="12">
        <f>SUM(H80:H93)</f>
        <v>105.14999999999999</v>
      </c>
      <c r="I94" s="12">
        <f>SUM(I80:I93)</f>
        <v>1894.61</v>
      </c>
    </row>
    <row r="95" spans="3:13" hidden="1" x14ac:dyDescent="0.3">
      <c r="C95" s="1">
        <v>42584</v>
      </c>
      <c r="D95" s="21">
        <v>147</v>
      </c>
      <c r="E95" s="117"/>
      <c r="F95" t="s">
        <v>104</v>
      </c>
      <c r="G95" s="11">
        <v>7.25</v>
      </c>
      <c r="H95" s="11">
        <v>0</v>
      </c>
      <c r="I95" s="11">
        <v>7.25</v>
      </c>
      <c r="J95" s="7">
        <v>201563</v>
      </c>
      <c r="L95" s="1">
        <v>42618</v>
      </c>
      <c r="M95" s="1"/>
    </row>
    <row r="96" spans="3:13" hidden="1" x14ac:dyDescent="0.3">
      <c r="C96" s="1">
        <v>42584</v>
      </c>
      <c r="D96" s="21">
        <v>147</v>
      </c>
      <c r="E96" s="117"/>
      <c r="F96" t="s">
        <v>88</v>
      </c>
      <c r="G96" s="11">
        <v>392.27</v>
      </c>
      <c r="H96" s="11">
        <v>0</v>
      </c>
      <c r="I96" s="11">
        <v>392.27</v>
      </c>
      <c r="J96" s="7">
        <v>201564</v>
      </c>
      <c r="L96" s="1">
        <v>42618</v>
      </c>
      <c r="M96" s="1"/>
    </row>
    <row r="97" spans="3:13" hidden="1" x14ac:dyDescent="0.3">
      <c r="C97" s="1">
        <v>42584</v>
      </c>
      <c r="D97" s="21">
        <v>148</v>
      </c>
      <c r="E97" s="117"/>
      <c r="F97" t="s">
        <v>103</v>
      </c>
      <c r="G97" s="11">
        <v>15.07</v>
      </c>
      <c r="H97" s="11">
        <v>0</v>
      </c>
      <c r="I97" s="11">
        <v>15.07</v>
      </c>
      <c r="J97" s="7">
        <v>201564</v>
      </c>
      <c r="L97" s="1">
        <v>42618</v>
      </c>
      <c r="M97" s="1"/>
    </row>
    <row r="98" spans="3:13" hidden="1" x14ac:dyDescent="0.3">
      <c r="C98" s="1">
        <v>42584</v>
      </c>
      <c r="D98" s="21">
        <v>149</v>
      </c>
      <c r="E98" s="117"/>
      <c r="F98" t="s">
        <v>39</v>
      </c>
      <c r="G98" s="11">
        <v>180</v>
      </c>
      <c r="H98" s="11">
        <v>0</v>
      </c>
      <c r="I98" s="11">
        <v>180</v>
      </c>
      <c r="J98" s="7">
        <v>201565</v>
      </c>
      <c r="L98" s="1">
        <v>42618</v>
      </c>
      <c r="M98" s="1"/>
    </row>
    <row r="99" spans="3:13" hidden="1" x14ac:dyDescent="0.3">
      <c r="C99" s="1">
        <v>42584</v>
      </c>
      <c r="D99" s="21">
        <v>150</v>
      </c>
      <c r="E99" s="117"/>
      <c r="F99" t="s">
        <v>105</v>
      </c>
      <c r="G99" s="11">
        <v>380.05</v>
      </c>
      <c r="H99" s="11">
        <v>19</v>
      </c>
      <c r="I99" s="11">
        <v>399.05</v>
      </c>
      <c r="J99" s="7">
        <v>201566</v>
      </c>
      <c r="L99" s="1">
        <v>42618</v>
      </c>
      <c r="M99" s="1"/>
    </row>
    <row r="100" spans="3:13" s="5" customFormat="1" hidden="1" x14ac:dyDescent="0.3">
      <c r="C100" s="8"/>
      <c r="D100" s="22"/>
      <c r="E100" s="113"/>
      <c r="G100" s="12">
        <f>SUM(G95:G99)</f>
        <v>974.63999999999987</v>
      </c>
      <c r="H100" s="12">
        <f>SUM(H95:H99)</f>
        <v>19</v>
      </c>
      <c r="I100" s="12">
        <f>SUM(I95:I99)</f>
        <v>993.63999999999987</v>
      </c>
      <c r="J100" s="16"/>
      <c r="K100" s="8"/>
      <c r="L100" s="8"/>
      <c r="M100" s="8"/>
    </row>
    <row r="101" spans="3:13" hidden="1" x14ac:dyDescent="0.3">
      <c r="C101" s="1">
        <v>42614</v>
      </c>
      <c r="D101" s="21">
        <v>151</v>
      </c>
      <c r="E101" s="117"/>
      <c r="F101" t="s">
        <v>78</v>
      </c>
      <c r="G101" s="11">
        <v>147</v>
      </c>
      <c r="H101" s="11">
        <v>0</v>
      </c>
      <c r="I101" s="11">
        <v>147</v>
      </c>
      <c r="J101" s="7">
        <v>201567</v>
      </c>
      <c r="L101" s="1">
        <v>42646</v>
      </c>
      <c r="M101" s="1"/>
    </row>
    <row r="102" spans="3:13" hidden="1" x14ac:dyDescent="0.3">
      <c r="C102" s="1">
        <v>42614</v>
      </c>
      <c r="D102" s="21">
        <v>152</v>
      </c>
      <c r="E102" s="117"/>
      <c r="F102" t="s">
        <v>39</v>
      </c>
      <c r="G102" s="11">
        <v>180</v>
      </c>
      <c r="H102" s="11">
        <v>0</v>
      </c>
      <c r="I102" s="11">
        <v>180</v>
      </c>
      <c r="J102" s="7">
        <v>201568</v>
      </c>
      <c r="L102" s="1">
        <v>42646</v>
      </c>
      <c r="M102" s="1"/>
    </row>
    <row r="103" spans="3:13" hidden="1" x14ac:dyDescent="0.3">
      <c r="C103" s="1">
        <v>42614</v>
      </c>
      <c r="D103" s="21">
        <v>153</v>
      </c>
      <c r="E103" s="117"/>
      <c r="F103" t="s">
        <v>106</v>
      </c>
      <c r="G103" s="11">
        <v>40.5</v>
      </c>
      <c r="H103" s="11">
        <v>0</v>
      </c>
      <c r="I103" s="11">
        <v>40.5</v>
      </c>
      <c r="J103" s="7">
        <v>201569</v>
      </c>
      <c r="L103" s="1">
        <v>42646</v>
      </c>
      <c r="M103" s="1"/>
    </row>
    <row r="104" spans="3:13" hidden="1" x14ac:dyDescent="0.3">
      <c r="C104" s="1">
        <v>42614</v>
      </c>
      <c r="D104" s="21">
        <v>154</v>
      </c>
      <c r="E104" s="117"/>
      <c r="F104" t="s">
        <v>107</v>
      </c>
      <c r="G104" s="11">
        <v>392.27</v>
      </c>
      <c r="H104" s="11">
        <v>0</v>
      </c>
      <c r="I104" s="11">
        <v>392.27</v>
      </c>
      <c r="J104" s="7">
        <v>201570</v>
      </c>
      <c r="L104" s="1">
        <v>42646</v>
      </c>
      <c r="M104" s="1"/>
    </row>
    <row r="105" spans="3:13" hidden="1" x14ac:dyDescent="0.3">
      <c r="C105" s="1">
        <v>42614</v>
      </c>
      <c r="D105" s="21">
        <v>154</v>
      </c>
      <c r="E105" s="117"/>
      <c r="F105" t="s">
        <v>108</v>
      </c>
      <c r="G105" s="11">
        <v>15.07</v>
      </c>
      <c r="H105" s="11">
        <v>0</v>
      </c>
      <c r="I105" s="11">
        <v>15.07</v>
      </c>
      <c r="J105" s="7">
        <v>201570</v>
      </c>
      <c r="L105" s="1">
        <v>42646</v>
      </c>
      <c r="M105" s="1"/>
    </row>
    <row r="106" spans="3:13" hidden="1" x14ac:dyDescent="0.3">
      <c r="C106" s="1">
        <v>42614</v>
      </c>
      <c r="D106" s="21">
        <v>155</v>
      </c>
      <c r="E106" s="117"/>
      <c r="F106" t="s">
        <v>109</v>
      </c>
      <c r="G106" s="11">
        <v>9.99</v>
      </c>
      <c r="H106" s="11">
        <v>0</v>
      </c>
      <c r="I106" s="11">
        <v>9.99</v>
      </c>
      <c r="J106" s="7">
        <v>201571</v>
      </c>
      <c r="L106" s="1">
        <v>42646</v>
      </c>
      <c r="M106" s="1"/>
    </row>
    <row r="107" spans="3:13" hidden="1" x14ac:dyDescent="0.3">
      <c r="C107" s="1">
        <v>42614</v>
      </c>
      <c r="D107" s="21">
        <v>156</v>
      </c>
      <c r="E107" s="117"/>
      <c r="F107" t="s">
        <v>110</v>
      </c>
      <c r="G107" s="11">
        <v>29.5</v>
      </c>
      <c r="H107" s="11">
        <v>5.9</v>
      </c>
      <c r="I107" s="11">
        <f>SUM(G107:H107)</f>
        <v>35.4</v>
      </c>
      <c r="J107" s="7">
        <v>201572</v>
      </c>
      <c r="L107" s="1">
        <v>42646</v>
      </c>
      <c r="M107" s="1"/>
    </row>
    <row r="108" spans="3:13" hidden="1" x14ac:dyDescent="0.3">
      <c r="C108" s="1">
        <v>42614</v>
      </c>
      <c r="D108" s="21">
        <v>157</v>
      </c>
      <c r="E108" s="117"/>
      <c r="F108" t="s">
        <v>86</v>
      </c>
      <c r="G108" s="11">
        <v>555</v>
      </c>
      <c r="H108" s="11">
        <v>111</v>
      </c>
      <c r="I108" s="11">
        <v>666</v>
      </c>
      <c r="J108" s="7">
        <v>201573</v>
      </c>
      <c r="L108" s="1">
        <v>42646</v>
      </c>
      <c r="M108" s="1"/>
    </row>
    <row r="109" spans="3:13" hidden="1" x14ac:dyDescent="0.3">
      <c r="C109" s="1">
        <v>42614</v>
      </c>
      <c r="D109" s="21">
        <v>158</v>
      </c>
      <c r="E109" s="117"/>
      <c r="F109" t="s">
        <v>81</v>
      </c>
      <c r="G109" s="11">
        <v>15.4</v>
      </c>
      <c r="H109" s="11">
        <v>3.08</v>
      </c>
      <c r="I109" s="11">
        <v>18.48</v>
      </c>
      <c r="J109" s="7">
        <v>201574</v>
      </c>
      <c r="L109" s="1">
        <v>42646</v>
      </c>
      <c r="M109" s="1"/>
    </row>
    <row r="110" spans="3:13" hidden="1" x14ac:dyDescent="0.3">
      <c r="C110" s="1">
        <v>42614</v>
      </c>
      <c r="D110" s="21">
        <v>159</v>
      </c>
      <c r="E110" s="117"/>
      <c r="F110" t="s">
        <v>111</v>
      </c>
      <c r="G110" s="11">
        <v>20</v>
      </c>
      <c r="H110" s="11">
        <v>0</v>
      </c>
      <c r="I110" s="11">
        <v>20</v>
      </c>
      <c r="J110" s="7">
        <v>201575</v>
      </c>
      <c r="L110" s="1">
        <v>42646</v>
      </c>
      <c r="M110" s="1"/>
    </row>
    <row r="111" spans="3:13" hidden="1" x14ac:dyDescent="0.3">
      <c r="C111" s="1">
        <v>42614</v>
      </c>
      <c r="D111" s="21">
        <v>160</v>
      </c>
      <c r="E111" s="117"/>
      <c r="F111" t="s">
        <v>112</v>
      </c>
      <c r="G111" s="11">
        <v>210</v>
      </c>
      <c r="H111" s="11">
        <v>42</v>
      </c>
      <c r="I111" s="11">
        <v>252</v>
      </c>
      <c r="J111" s="7">
        <v>201576</v>
      </c>
      <c r="L111" s="1">
        <v>42646</v>
      </c>
      <c r="M111" s="1"/>
    </row>
    <row r="112" spans="3:13" s="5" customFormat="1" hidden="1" x14ac:dyDescent="0.3">
      <c r="C112" s="8"/>
      <c r="D112" s="22"/>
      <c r="E112" s="113"/>
      <c r="G112" s="12">
        <f>SUM(G101:G111)</f>
        <v>1614.73</v>
      </c>
      <c r="H112" s="12">
        <f>SUM(H101:H111)</f>
        <v>161.98000000000002</v>
      </c>
      <c r="I112" s="12">
        <f>SUM(I101:I111)</f>
        <v>1776.71</v>
      </c>
      <c r="J112" s="16"/>
      <c r="K112" s="8"/>
    </row>
    <row r="113" spans="3:13" hidden="1" x14ac:dyDescent="0.3">
      <c r="C113" s="1">
        <v>42646</v>
      </c>
      <c r="D113" s="21">
        <v>161</v>
      </c>
      <c r="E113" s="117"/>
      <c r="F113" t="s">
        <v>39</v>
      </c>
      <c r="G113" s="11">
        <v>180</v>
      </c>
      <c r="H113" s="11">
        <v>0</v>
      </c>
      <c r="I113" s="11">
        <v>180</v>
      </c>
      <c r="J113" s="7">
        <v>201577</v>
      </c>
      <c r="L113" s="1">
        <v>42675</v>
      </c>
      <c r="M113" s="1"/>
    </row>
    <row r="114" spans="3:13" hidden="1" x14ac:dyDescent="0.3">
      <c r="C114" s="1">
        <v>42646</v>
      </c>
      <c r="D114" s="21">
        <v>162</v>
      </c>
      <c r="E114" s="117"/>
      <c r="F114" t="s">
        <v>97</v>
      </c>
      <c r="G114" s="11">
        <v>60</v>
      </c>
      <c r="H114" s="11">
        <v>12</v>
      </c>
      <c r="I114" s="11">
        <v>72</v>
      </c>
      <c r="J114" s="7">
        <v>201578</v>
      </c>
      <c r="L114" s="1">
        <v>42675</v>
      </c>
      <c r="M114" s="1"/>
    </row>
    <row r="115" spans="3:13" hidden="1" x14ac:dyDescent="0.3">
      <c r="C115" s="1">
        <v>42646</v>
      </c>
      <c r="D115" s="21">
        <v>163</v>
      </c>
      <c r="E115" s="117"/>
      <c r="F115" t="s">
        <v>107</v>
      </c>
      <c r="G115" s="11">
        <v>392.27</v>
      </c>
      <c r="H115" s="11">
        <v>0</v>
      </c>
      <c r="I115" s="11">
        <v>392.27</v>
      </c>
      <c r="J115" s="7">
        <v>201579</v>
      </c>
      <c r="L115" s="1">
        <v>42675</v>
      </c>
      <c r="M115" s="1"/>
    </row>
    <row r="116" spans="3:13" hidden="1" x14ac:dyDescent="0.3">
      <c r="C116" s="1">
        <v>42646</v>
      </c>
      <c r="D116" s="21">
        <v>163</v>
      </c>
      <c r="E116" s="117"/>
      <c r="F116" t="s">
        <v>108</v>
      </c>
      <c r="G116" s="11">
        <v>15.07</v>
      </c>
      <c r="H116" s="11">
        <v>0</v>
      </c>
      <c r="I116" s="11">
        <v>15.07</v>
      </c>
      <c r="J116" s="7">
        <v>201579</v>
      </c>
      <c r="L116" s="1">
        <v>42675</v>
      </c>
      <c r="M116" s="1"/>
    </row>
    <row r="117" spans="3:13" hidden="1" x14ac:dyDescent="0.3">
      <c r="C117" s="1">
        <v>42646</v>
      </c>
      <c r="D117" s="21">
        <v>163</v>
      </c>
      <c r="E117" s="117"/>
      <c r="F117" t="s">
        <v>113</v>
      </c>
      <c r="G117" s="11">
        <v>42.45</v>
      </c>
      <c r="H117" s="11">
        <v>0</v>
      </c>
      <c r="I117" s="11">
        <v>42.45</v>
      </c>
      <c r="J117" s="7">
        <v>201579</v>
      </c>
      <c r="L117" s="1">
        <v>42675</v>
      </c>
      <c r="M117" s="1"/>
    </row>
    <row r="118" spans="3:13" hidden="1" x14ac:dyDescent="0.3">
      <c r="C118" s="1">
        <v>42646</v>
      </c>
      <c r="D118" s="21">
        <v>164</v>
      </c>
      <c r="E118" s="117"/>
      <c r="F118" t="s">
        <v>99</v>
      </c>
      <c r="G118" s="11">
        <v>300</v>
      </c>
      <c r="H118" s="11">
        <v>35</v>
      </c>
      <c r="I118" s="11">
        <v>335</v>
      </c>
      <c r="J118" s="7">
        <v>201580</v>
      </c>
      <c r="L118" s="1">
        <v>42675</v>
      </c>
      <c r="M118" s="1"/>
    </row>
    <row r="119" spans="3:13" hidden="1" x14ac:dyDescent="0.3">
      <c r="C119" s="1">
        <v>42646</v>
      </c>
      <c r="D119" s="21">
        <v>165</v>
      </c>
      <c r="E119" s="117"/>
      <c r="F119" t="s">
        <v>114</v>
      </c>
      <c r="G119" s="11">
        <v>95</v>
      </c>
      <c r="H119" s="11">
        <v>19</v>
      </c>
      <c r="I119" s="11">
        <v>114</v>
      </c>
      <c r="J119" s="7">
        <v>201581</v>
      </c>
      <c r="L119" s="1">
        <v>42675</v>
      </c>
      <c r="M119" s="1"/>
    </row>
    <row r="120" spans="3:13" hidden="1" x14ac:dyDescent="0.3">
      <c r="C120" s="1">
        <v>42646</v>
      </c>
      <c r="D120" s="21">
        <v>166</v>
      </c>
      <c r="E120" s="117"/>
      <c r="F120" t="s">
        <v>122</v>
      </c>
      <c r="G120" s="11">
        <v>12.5</v>
      </c>
      <c r="H120" s="11">
        <v>2.5</v>
      </c>
      <c r="I120" s="11">
        <v>15</v>
      </c>
      <c r="J120" s="7">
        <v>201582</v>
      </c>
      <c r="L120" s="1">
        <v>42675</v>
      </c>
      <c r="M120" s="1"/>
    </row>
    <row r="121" spans="3:13" hidden="1" x14ac:dyDescent="0.3">
      <c r="C121" s="1">
        <v>42646</v>
      </c>
      <c r="D121" s="21">
        <v>166</v>
      </c>
      <c r="E121" s="117"/>
      <c r="F121" t="s">
        <v>121</v>
      </c>
      <c r="G121" s="11">
        <v>15</v>
      </c>
      <c r="H121" s="11">
        <v>0</v>
      </c>
      <c r="I121" s="11">
        <v>15</v>
      </c>
      <c r="J121" s="7">
        <v>201582</v>
      </c>
      <c r="L121" s="1">
        <v>42675</v>
      </c>
      <c r="M121" s="1"/>
    </row>
    <row r="122" spans="3:13" hidden="1" x14ac:dyDescent="0.3">
      <c r="C122" s="1">
        <v>42646</v>
      </c>
      <c r="D122" s="21">
        <v>167</v>
      </c>
      <c r="E122" s="117"/>
      <c r="F122" t="s">
        <v>39</v>
      </c>
      <c r="G122" s="11">
        <v>651.5</v>
      </c>
      <c r="H122" s="11">
        <v>0</v>
      </c>
      <c r="I122" s="11">
        <v>651.5</v>
      </c>
      <c r="J122" s="7">
        <v>201584</v>
      </c>
      <c r="L122" s="1">
        <v>42675</v>
      </c>
      <c r="M122" s="1"/>
    </row>
    <row r="123" spans="3:13" hidden="1" x14ac:dyDescent="0.3">
      <c r="C123" s="1">
        <v>42646</v>
      </c>
      <c r="D123" s="21">
        <v>168</v>
      </c>
      <c r="E123" s="117"/>
      <c r="F123" t="s">
        <v>115</v>
      </c>
      <c r="G123" s="11">
        <v>185</v>
      </c>
      <c r="H123" s="11">
        <v>37</v>
      </c>
      <c r="I123" s="11">
        <v>222</v>
      </c>
      <c r="J123" s="7">
        <v>201583</v>
      </c>
      <c r="L123" s="1">
        <v>42675</v>
      </c>
      <c r="M123" s="1"/>
    </row>
    <row r="124" spans="3:13" hidden="1" x14ac:dyDescent="0.3">
      <c r="C124" s="1">
        <v>42653</v>
      </c>
      <c r="D124" s="21">
        <v>169</v>
      </c>
      <c r="E124" s="117"/>
      <c r="F124" t="s">
        <v>116</v>
      </c>
      <c r="G124" s="11">
        <v>23.4</v>
      </c>
      <c r="H124" s="11">
        <v>4.68</v>
      </c>
      <c r="I124" s="11">
        <f>SUM(G124:H124)</f>
        <v>28.08</v>
      </c>
      <c r="J124" s="7">
        <v>201585</v>
      </c>
      <c r="L124" s="1">
        <v>42675</v>
      </c>
      <c r="M124" s="1"/>
    </row>
    <row r="125" spans="3:13" hidden="1" x14ac:dyDescent="0.3">
      <c r="C125" s="1">
        <v>42653</v>
      </c>
      <c r="D125" s="21">
        <v>170</v>
      </c>
      <c r="E125" s="117"/>
      <c r="F125" t="s">
        <v>117</v>
      </c>
      <c r="G125" s="11">
        <v>20</v>
      </c>
      <c r="H125" s="11">
        <v>0</v>
      </c>
      <c r="I125" s="11">
        <v>20</v>
      </c>
      <c r="J125" s="7">
        <v>201586</v>
      </c>
      <c r="L125" s="1">
        <v>42675</v>
      </c>
      <c r="M125" s="1"/>
    </row>
    <row r="126" spans="3:13" hidden="1" x14ac:dyDescent="0.3">
      <c r="C126" s="1">
        <v>42656</v>
      </c>
      <c r="D126" s="21">
        <v>171</v>
      </c>
      <c r="E126" s="117"/>
      <c r="F126" t="s">
        <v>118</v>
      </c>
      <c r="G126" s="11">
        <v>38.78</v>
      </c>
      <c r="H126" s="11">
        <v>0</v>
      </c>
      <c r="I126" s="11">
        <v>38.78</v>
      </c>
      <c r="J126" s="7">
        <v>201587</v>
      </c>
      <c r="L126" s="1">
        <v>42675</v>
      </c>
      <c r="M126" s="1"/>
    </row>
    <row r="127" spans="3:13" hidden="1" x14ac:dyDescent="0.3">
      <c r="C127" s="1">
        <v>42656</v>
      </c>
      <c r="D127" s="21">
        <v>172</v>
      </c>
      <c r="E127" s="117"/>
      <c r="F127" t="s">
        <v>119</v>
      </c>
      <c r="G127" s="11">
        <v>6.4</v>
      </c>
      <c r="H127" s="11">
        <v>0</v>
      </c>
      <c r="I127" s="11">
        <v>6.4</v>
      </c>
      <c r="J127" s="7">
        <v>201588</v>
      </c>
      <c r="L127" s="1">
        <v>42675</v>
      </c>
      <c r="M127" s="1"/>
    </row>
    <row r="128" spans="3:13" hidden="1" x14ac:dyDescent="0.3">
      <c r="C128" s="1">
        <v>42656</v>
      </c>
      <c r="D128" s="21">
        <v>173</v>
      </c>
      <c r="E128" s="117"/>
      <c r="F128" t="s">
        <v>120</v>
      </c>
      <c r="G128" s="11">
        <v>43.5</v>
      </c>
      <c r="H128" s="11">
        <v>0</v>
      </c>
      <c r="I128" s="11">
        <v>43.5</v>
      </c>
      <c r="J128" s="7">
        <v>201589</v>
      </c>
      <c r="L128" s="1">
        <v>42675</v>
      </c>
      <c r="M128" s="1"/>
    </row>
    <row r="129" spans="3:13" s="5" customFormat="1" hidden="1" x14ac:dyDescent="0.3">
      <c r="D129" s="22"/>
      <c r="E129" s="113"/>
      <c r="G129" s="12">
        <f>SUM(G113:G128)</f>
        <v>2080.87</v>
      </c>
      <c r="H129" s="12">
        <f>SUM(H113:H128)</f>
        <v>110.18</v>
      </c>
      <c r="I129" s="12">
        <f>SUM(I113:I128)</f>
        <v>2191.0500000000002</v>
      </c>
      <c r="J129" s="16"/>
      <c r="K129" s="8"/>
    </row>
    <row r="130" spans="3:13" hidden="1" x14ac:dyDescent="0.3">
      <c r="C130" s="1">
        <v>42675</v>
      </c>
      <c r="D130" s="21">
        <v>174</v>
      </c>
      <c r="E130" s="117"/>
      <c r="F130" t="s">
        <v>123</v>
      </c>
      <c r="G130" s="11">
        <v>99</v>
      </c>
      <c r="H130" s="11">
        <v>19.8</v>
      </c>
      <c r="I130" s="11">
        <f t="shared" ref="I130:I139" si="6">SUM(G130:H130)</f>
        <v>118.8</v>
      </c>
      <c r="J130" s="7">
        <v>201590</v>
      </c>
      <c r="L130" s="1">
        <v>42709</v>
      </c>
      <c r="M130" s="1"/>
    </row>
    <row r="131" spans="3:13" hidden="1" x14ac:dyDescent="0.3">
      <c r="C131" s="1">
        <v>42675</v>
      </c>
      <c r="D131" s="21">
        <v>175</v>
      </c>
      <c r="E131" s="117"/>
      <c r="F131" t="s">
        <v>124</v>
      </c>
      <c r="G131" s="11">
        <v>30</v>
      </c>
      <c r="I131" s="11">
        <f t="shared" si="6"/>
        <v>30</v>
      </c>
      <c r="J131" s="7">
        <v>201591</v>
      </c>
      <c r="L131" s="1">
        <v>42709</v>
      </c>
      <c r="M131" s="1"/>
    </row>
    <row r="132" spans="3:13" hidden="1" x14ac:dyDescent="0.3">
      <c r="C132" s="1">
        <v>42675</v>
      </c>
      <c r="D132" s="21">
        <v>176</v>
      </c>
      <c r="E132" s="117"/>
      <c r="F132" t="s">
        <v>93</v>
      </c>
      <c r="G132" s="11">
        <v>9.98</v>
      </c>
      <c r="H132" s="11">
        <v>2</v>
      </c>
      <c r="I132" s="11">
        <f t="shared" si="6"/>
        <v>11.98</v>
      </c>
      <c r="J132" s="7">
        <v>201592</v>
      </c>
      <c r="L132" s="1">
        <v>42709</v>
      </c>
      <c r="M132" s="1"/>
    </row>
    <row r="133" spans="3:13" hidden="1" x14ac:dyDescent="0.3">
      <c r="C133" s="1">
        <v>42675</v>
      </c>
      <c r="D133" s="21">
        <v>177</v>
      </c>
      <c r="E133" s="117"/>
      <c r="F133" t="s">
        <v>97</v>
      </c>
      <c r="G133" s="11">
        <v>66.59</v>
      </c>
      <c r="H133" s="11">
        <v>14.03</v>
      </c>
      <c r="I133" s="11">
        <f t="shared" si="6"/>
        <v>80.62</v>
      </c>
      <c r="J133" s="7">
        <v>201593</v>
      </c>
      <c r="L133" s="1">
        <v>42709</v>
      </c>
      <c r="M133" s="1"/>
    </row>
    <row r="134" spans="3:13" hidden="1" x14ac:dyDescent="0.3">
      <c r="C134" s="1">
        <v>42675</v>
      </c>
      <c r="D134" s="21">
        <v>178</v>
      </c>
      <c r="E134" s="117"/>
      <c r="F134" t="s">
        <v>125</v>
      </c>
      <c r="G134" s="11">
        <v>68.88</v>
      </c>
      <c r="H134" s="11">
        <v>12.43</v>
      </c>
      <c r="I134" s="11">
        <f t="shared" si="6"/>
        <v>81.31</v>
      </c>
      <c r="J134" s="7">
        <v>201594</v>
      </c>
      <c r="L134" s="1">
        <v>42709</v>
      </c>
      <c r="M134" s="1"/>
    </row>
    <row r="135" spans="3:13" hidden="1" x14ac:dyDescent="0.3">
      <c r="C135" s="1">
        <v>42675</v>
      </c>
      <c r="D135" s="21">
        <v>179</v>
      </c>
      <c r="E135" s="117"/>
      <c r="F135" t="s">
        <v>88</v>
      </c>
      <c r="G135" s="11">
        <v>392.27</v>
      </c>
      <c r="H135" s="11">
        <v>0</v>
      </c>
      <c r="I135" s="11">
        <f t="shared" si="6"/>
        <v>392.27</v>
      </c>
      <c r="J135" s="7">
        <v>201595</v>
      </c>
      <c r="L135" s="1">
        <v>42709</v>
      </c>
      <c r="M135" s="1"/>
    </row>
    <row r="136" spans="3:13" hidden="1" x14ac:dyDescent="0.3">
      <c r="C136" s="1">
        <v>42675</v>
      </c>
      <c r="D136" s="21">
        <v>179</v>
      </c>
      <c r="E136" s="117"/>
      <c r="F136" t="s">
        <v>103</v>
      </c>
      <c r="G136" s="11">
        <v>15.07</v>
      </c>
      <c r="H136" s="11">
        <v>0</v>
      </c>
      <c r="I136" s="11">
        <f t="shared" si="6"/>
        <v>15.07</v>
      </c>
      <c r="J136" s="7">
        <v>201595</v>
      </c>
      <c r="L136" s="1">
        <v>42709</v>
      </c>
      <c r="M136" s="1"/>
    </row>
    <row r="137" spans="3:13" hidden="1" x14ac:dyDescent="0.3">
      <c r="C137" s="1">
        <v>42675</v>
      </c>
      <c r="D137" s="21">
        <v>179</v>
      </c>
      <c r="E137" s="117"/>
      <c r="F137" t="s">
        <v>126</v>
      </c>
      <c r="G137" s="11">
        <v>20.25</v>
      </c>
      <c r="H137" s="11">
        <v>0</v>
      </c>
      <c r="I137" s="11">
        <f t="shared" si="6"/>
        <v>20.25</v>
      </c>
      <c r="J137" s="7">
        <v>201595</v>
      </c>
      <c r="L137" s="1">
        <v>42709</v>
      </c>
      <c r="M137" s="1"/>
    </row>
    <row r="138" spans="3:13" hidden="1" x14ac:dyDescent="0.3">
      <c r="C138" s="1">
        <v>42675</v>
      </c>
      <c r="D138" s="21">
        <v>180</v>
      </c>
      <c r="E138" s="117"/>
      <c r="F138" t="s">
        <v>39</v>
      </c>
      <c r="G138" s="11">
        <v>180</v>
      </c>
      <c r="H138" s="11">
        <v>0</v>
      </c>
      <c r="I138" s="11">
        <f t="shared" si="6"/>
        <v>180</v>
      </c>
      <c r="J138" s="7">
        <v>201596</v>
      </c>
      <c r="L138" s="1">
        <v>42709</v>
      </c>
      <c r="M138" s="1"/>
    </row>
    <row r="139" spans="3:13" hidden="1" x14ac:dyDescent="0.3">
      <c r="C139" s="1">
        <v>42675</v>
      </c>
      <c r="D139" s="21">
        <v>181</v>
      </c>
      <c r="E139" s="117"/>
      <c r="F139" t="s">
        <v>95</v>
      </c>
      <c r="G139" s="11">
        <v>185</v>
      </c>
      <c r="H139" s="11">
        <v>37</v>
      </c>
      <c r="I139" s="11">
        <f t="shared" si="6"/>
        <v>222</v>
      </c>
      <c r="J139" s="7">
        <v>201597</v>
      </c>
      <c r="L139" s="1">
        <v>42709</v>
      </c>
      <c r="M139" s="1"/>
    </row>
    <row r="140" spans="3:13" hidden="1" x14ac:dyDescent="0.3">
      <c r="C140" s="1">
        <v>42675</v>
      </c>
      <c r="D140" s="21">
        <v>182</v>
      </c>
      <c r="E140" s="117"/>
      <c r="F140" t="s">
        <v>127</v>
      </c>
      <c r="G140" s="11">
        <v>25.98</v>
      </c>
      <c r="H140" s="11">
        <v>0</v>
      </c>
      <c r="I140" s="11">
        <v>25.98</v>
      </c>
      <c r="J140" s="7">
        <v>201598</v>
      </c>
      <c r="L140" s="1">
        <v>42709</v>
      </c>
      <c r="M140" s="1"/>
    </row>
    <row r="141" spans="3:13" hidden="1" x14ac:dyDescent="0.3">
      <c r="C141" s="1">
        <v>42675</v>
      </c>
      <c r="D141" s="21">
        <v>183</v>
      </c>
      <c r="E141" s="117"/>
      <c r="F141" t="s">
        <v>128</v>
      </c>
      <c r="G141" s="11">
        <v>19.8</v>
      </c>
      <c r="H141" s="11">
        <v>0</v>
      </c>
      <c r="I141" s="11">
        <f t="shared" ref="I141:I147" si="7">SUM(G141:H141)</f>
        <v>19.8</v>
      </c>
      <c r="J141" s="7">
        <v>201599</v>
      </c>
      <c r="L141" s="1">
        <v>42709</v>
      </c>
      <c r="M141" s="1"/>
    </row>
    <row r="142" spans="3:13" hidden="1" x14ac:dyDescent="0.3">
      <c r="C142" s="1">
        <v>42676</v>
      </c>
      <c r="D142" s="21">
        <v>184</v>
      </c>
      <c r="E142" s="117"/>
      <c r="F142" t="s">
        <v>129</v>
      </c>
      <c r="G142" s="11">
        <v>209.79</v>
      </c>
      <c r="H142" s="11">
        <v>0</v>
      </c>
      <c r="I142" s="11">
        <f t="shared" si="7"/>
        <v>209.79</v>
      </c>
      <c r="J142" s="7">
        <v>201600</v>
      </c>
      <c r="L142" s="1">
        <v>42709</v>
      </c>
      <c r="M142" s="1"/>
    </row>
    <row r="143" spans="3:13" hidden="1" x14ac:dyDescent="0.3">
      <c r="C143" s="1">
        <v>42676</v>
      </c>
      <c r="D143" s="21">
        <v>185</v>
      </c>
      <c r="E143" s="117"/>
      <c r="F143" t="s">
        <v>130</v>
      </c>
      <c r="G143" s="11">
        <v>35</v>
      </c>
      <c r="H143" s="11">
        <v>0</v>
      </c>
      <c r="I143" s="11">
        <f t="shared" si="7"/>
        <v>35</v>
      </c>
      <c r="J143" s="7" t="s">
        <v>26</v>
      </c>
      <c r="L143" s="1">
        <v>42709</v>
      </c>
      <c r="M143" s="1"/>
    </row>
    <row r="144" spans="3:13" hidden="1" x14ac:dyDescent="0.3">
      <c r="C144" s="1">
        <v>42676</v>
      </c>
      <c r="D144" s="21">
        <v>186</v>
      </c>
      <c r="E144" s="117"/>
      <c r="F144" t="s">
        <v>129</v>
      </c>
      <c r="G144" s="11">
        <v>209.79</v>
      </c>
      <c r="H144" s="11">
        <v>0</v>
      </c>
      <c r="I144" s="11">
        <f t="shared" si="7"/>
        <v>209.79</v>
      </c>
      <c r="J144" s="7">
        <v>201401</v>
      </c>
      <c r="L144" s="1">
        <v>42709</v>
      </c>
      <c r="M144" s="1"/>
    </row>
    <row r="145" spans="3:13" hidden="1" x14ac:dyDescent="0.3">
      <c r="C145" s="1">
        <v>42676</v>
      </c>
      <c r="D145" s="21">
        <v>187</v>
      </c>
      <c r="E145" s="117"/>
      <c r="F145" t="s">
        <v>131</v>
      </c>
      <c r="G145" s="11">
        <v>50</v>
      </c>
      <c r="H145" s="11">
        <v>0</v>
      </c>
      <c r="I145" s="11">
        <f t="shared" si="7"/>
        <v>50</v>
      </c>
      <c r="J145" s="7">
        <v>201402</v>
      </c>
      <c r="L145" s="1">
        <v>42709</v>
      </c>
      <c r="M145" s="1"/>
    </row>
    <row r="146" spans="3:13" hidden="1" x14ac:dyDescent="0.3">
      <c r="C146" s="1">
        <v>42676</v>
      </c>
      <c r="D146" s="21">
        <v>188</v>
      </c>
      <c r="E146" s="117"/>
      <c r="F146" t="s">
        <v>132</v>
      </c>
      <c r="G146" s="11">
        <v>50</v>
      </c>
      <c r="H146" s="11">
        <v>0</v>
      </c>
      <c r="I146" s="11">
        <f t="shared" si="7"/>
        <v>50</v>
      </c>
      <c r="J146" s="7">
        <v>201403</v>
      </c>
      <c r="L146" s="1">
        <v>42709</v>
      </c>
      <c r="M146" s="1"/>
    </row>
    <row r="147" spans="3:13" hidden="1" x14ac:dyDescent="0.3">
      <c r="C147" s="1">
        <v>42709</v>
      </c>
      <c r="D147" s="21">
        <v>190</v>
      </c>
      <c r="E147" s="117"/>
      <c r="F147" t="s">
        <v>133</v>
      </c>
      <c r="G147" s="11">
        <v>244</v>
      </c>
      <c r="H147" s="11">
        <v>48.8</v>
      </c>
      <c r="I147" s="11">
        <f t="shared" si="7"/>
        <v>292.8</v>
      </c>
      <c r="J147" s="7">
        <v>201404</v>
      </c>
      <c r="L147" s="1">
        <v>42709</v>
      </c>
      <c r="M147" s="1"/>
    </row>
    <row r="148" spans="3:13" hidden="1" x14ac:dyDescent="0.3">
      <c r="C148" s="1"/>
      <c r="D148" s="21"/>
      <c r="E148" s="117"/>
      <c r="G148" s="12">
        <f>SUM(G130:G147)</f>
        <v>1911.3999999999999</v>
      </c>
      <c r="H148" s="12">
        <f>SUM(H130:H147)</f>
        <v>134.06</v>
      </c>
      <c r="I148" s="12">
        <f>SUM(I130:I147)</f>
        <v>2045.46</v>
      </c>
    </row>
    <row r="149" spans="3:13" hidden="1" x14ac:dyDescent="0.3">
      <c r="C149" s="1">
        <v>42709</v>
      </c>
      <c r="D149" s="21">
        <v>189</v>
      </c>
      <c r="E149" s="117"/>
      <c r="F149" t="s">
        <v>78</v>
      </c>
      <c r="G149" s="11">
        <v>126</v>
      </c>
      <c r="H149" s="11">
        <v>0</v>
      </c>
      <c r="I149" s="11">
        <f t="shared" ref="I149:I158" si="8">SUM(G149:H149)</f>
        <v>126</v>
      </c>
      <c r="J149" s="7">
        <v>201405</v>
      </c>
      <c r="L149" s="1">
        <v>42738</v>
      </c>
      <c r="M149" s="1"/>
    </row>
    <row r="150" spans="3:13" hidden="1" x14ac:dyDescent="0.3">
      <c r="C150" s="1">
        <v>42709</v>
      </c>
      <c r="D150" s="21">
        <v>191</v>
      </c>
      <c r="E150" s="117"/>
      <c r="F150" t="s">
        <v>31</v>
      </c>
      <c r="G150" s="11">
        <v>310</v>
      </c>
      <c r="H150" s="11">
        <v>0</v>
      </c>
      <c r="I150" s="11">
        <f t="shared" si="8"/>
        <v>310</v>
      </c>
      <c r="J150" s="7">
        <v>201406</v>
      </c>
      <c r="L150" s="1">
        <v>42738</v>
      </c>
      <c r="M150" s="1"/>
    </row>
    <row r="151" spans="3:13" hidden="1" x14ac:dyDescent="0.3">
      <c r="C151" s="1">
        <v>42709</v>
      </c>
      <c r="D151" s="21">
        <v>192</v>
      </c>
      <c r="E151" s="117"/>
      <c r="F151" t="s">
        <v>134</v>
      </c>
      <c r="G151" s="11">
        <v>35</v>
      </c>
      <c r="H151" s="11">
        <v>0</v>
      </c>
      <c r="I151" s="11">
        <f t="shared" si="8"/>
        <v>35</v>
      </c>
      <c r="J151" s="7">
        <v>201407</v>
      </c>
      <c r="L151" s="1">
        <v>42738</v>
      </c>
      <c r="M151" s="1"/>
    </row>
    <row r="152" spans="3:13" hidden="1" x14ac:dyDescent="0.3">
      <c r="C152" s="1">
        <v>42709</v>
      </c>
      <c r="D152" s="21">
        <v>193</v>
      </c>
      <c r="E152" s="117"/>
      <c r="F152" t="s">
        <v>135</v>
      </c>
      <c r="G152" s="11">
        <v>58.17</v>
      </c>
      <c r="H152" s="11">
        <v>5.89</v>
      </c>
      <c r="I152" s="11">
        <f t="shared" si="8"/>
        <v>64.06</v>
      </c>
      <c r="J152" s="7">
        <v>201408</v>
      </c>
      <c r="L152" s="1">
        <v>42738</v>
      </c>
      <c r="M152" s="1"/>
    </row>
    <row r="153" spans="3:13" hidden="1" x14ac:dyDescent="0.3">
      <c r="C153" s="1">
        <v>42709</v>
      </c>
      <c r="D153" s="21">
        <v>194</v>
      </c>
      <c r="E153" s="117"/>
      <c r="F153" t="s">
        <v>88</v>
      </c>
      <c r="G153" s="11">
        <v>586.01</v>
      </c>
      <c r="H153" s="11">
        <v>0</v>
      </c>
      <c r="I153" s="11">
        <f t="shared" si="8"/>
        <v>586.01</v>
      </c>
      <c r="J153" s="7">
        <v>201409</v>
      </c>
      <c r="L153" s="1">
        <v>42738</v>
      </c>
      <c r="M153" s="1"/>
    </row>
    <row r="154" spans="3:13" hidden="1" x14ac:dyDescent="0.3">
      <c r="C154" s="1">
        <v>42709</v>
      </c>
      <c r="D154" s="21">
        <v>194</v>
      </c>
      <c r="E154" s="117"/>
      <c r="F154" t="s">
        <v>103</v>
      </c>
      <c r="G154" s="11">
        <v>15.07</v>
      </c>
      <c r="H154" s="11">
        <v>0</v>
      </c>
      <c r="I154" s="11">
        <f t="shared" si="8"/>
        <v>15.07</v>
      </c>
      <c r="J154" s="7">
        <v>201409</v>
      </c>
      <c r="L154" s="1">
        <v>42738</v>
      </c>
      <c r="M154" s="1"/>
    </row>
    <row r="155" spans="3:13" hidden="1" x14ac:dyDescent="0.3">
      <c r="C155" s="1">
        <v>42709</v>
      </c>
      <c r="D155" s="21">
        <v>194</v>
      </c>
      <c r="E155" s="117"/>
      <c r="F155" t="s">
        <v>126</v>
      </c>
      <c r="G155" s="11">
        <v>24.75</v>
      </c>
      <c r="H155" s="11">
        <v>0</v>
      </c>
      <c r="I155" s="11">
        <f t="shared" si="8"/>
        <v>24.75</v>
      </c>
      <c r="J155" s="7">
        <v>201409</v>
      </c>
      <c r="L155" s="1">
        <v>42738</v>
      </c>
      <c r="M155" s="1"/>
    </row>
    <row r="156" spans="3:13" hidden="1" x14ac:dyDescent="0.3">
      <c r="C156" s="1">
        <v>42709</v>
      </c>
      <c r="D156" s="21">
        <v>195</v>
      </c>
      <c r="E156" s="117"/>
      <c r="F156" t="s">
        <v>136</v>
      </c>
      <c r="G156" s="11">
        <v>738.95</v>
      </c>
      <c r="H156" s="11">
        <v>147.79</v>
      </c>
      <c r="I156" s="11">
        <f t="shared" si="8"/>
        <v>886.74</v>
      </c>
      <c r="J156" s="7">
        <v>201410</v>
      </c>
      <c r="L156" s="1">
        <v>42738</v>
      </c>
      <c r="M156" s="1"/>
    </row>
    <row r="157" spans="3:13" hidden="1" x14ac:dyDescent="0.3">
      <c r="C157" s="1">
        <v>42709</v>
      </c>
      <c r="D157" s="21">
        <v>196</v>
      </c>
      <c r="E157" s="117"/>
      <c r="F157" t="s">
        <v>137</v>
      </c>
      <c r="G157" s="11">
        <v>20</v>
      </c>
      <c r="H157" s="11">
        <v>0</v>
      </c>
      <c r="I157" s="11">
        <f t="shared" si="8"/>
        <v>20</v>
      </c>
      <c r="J157" s="7">
        <v>201412</v>
      </c>
      <c r="L157" s="1">
        <v>42738</v>
      </c>
      <c r="M157" s="1"/>
    </row>
    <row r="158" spans="3:13" hidden="1" x14ac:dyDescent="0.3">
      <c r="C158" s="1">
        <v>42709</v>
      </c>
      <c r="D158" s="21">
        <v>197</v>
      </c>
      <c r="E158" s="117"/>
      <c r="F158" t="s">
        <v>138</v>
      </c>
      <c r="G158" s="11">
        <v>107.35</v>
      </c>
      <c r="H158" s="11">
        <v>21.47</v>
      </c>
      <c r="I158" s="11">
        <f t="shared" si="8"/>
        <v>128.82</v>
      </c>
      <c r="J158" s="7">
        <v>201413</v>
      </c>
      <c r="L158" s="1">
        <v>42738</v>
      </c>
      <c r="M158" s="1"/>
    </row>
    <row r="159" spans="3:13" hidden="1" x14ac:dyDescent="0.3">
      <c r="C159" s="1">
        <v>42719</v>
      </c>
      <c r="D159" s="21">
        <v>198</v>
      </c>
      <c r="E159" s="117"/>
      <c r="F159" t="s">
        <v>139</v>
      </c>
      <c r="G159" s="11">
        <v>20000</v>
      </c>
      <c r="H159" s="11">
        <v>0</v>
      </c>
      <c r="I159" s="11">
        <v>20000</v>
      </c>
      <c r="J159" s="7">
        <v>201414</v>
      </c>
      <c r="L159" s="1">
        <v>42738</v>
      </c>
      <c r="M159" s="1"/>
    </row>
    <row r="160" spans="3:13" hidden="1" x14ac:dyDescent="0.3">
      <c r="C160" s="1">
        <v>42719</v>
      </c>
      <c r="D160" s="21">
        <v>199</v>
      </c>
      <c r="E160" s="117"/>
      <c r="F160" t="s">
        <v>127</v>
      </c>
      <c r="G160" s="11">
        <v>92.98</v>
      </c>
      <c r="H160" s="11">
        <v>0</v>
      </c>
      <c r="I160" s="11">
        <f>SUM(G160:H160)</f>
        <v>92.98</v>
      </c>
      <c r="J160" s="7">
        <v>201415</v>
      </c>
      <c r="L160" s="1">
        <v>42738</v>
      </c>
      <c r="M160" s="1"/>
    </row>
    <row r="161" spans="3:13" s="11" customFormat="1" hidden="1" x14ac:dyDescent="0.3">
      <c r="D161" s="23"/>
      <c r="E161" s="118"/>
      <c r="G161" s="12">
        <f>SUM(G149:G160)</f>
        <v>22114.28</v>
      </c>
      <c r="H161" s="12">
        <f>SUM(H149:H160)</f>
        <v>175.14999999999998</v>
      </c>
      <c r="I161" s="12">
        <f>SUM(I149:I160)</f>
        <v>22289.43</v>
      </c>
      <c r="J161" s="7"/>
      <c r="K161" s="1"/>
    </row>
    <row r="162" spans="3:13" hidden="1" x14ac:dyDescent="0.3">
      <c r="C162" s="1">
        <v>42738</v>
      </c>
      <c r="D162" s="21">
        <v>200</v>
      </c>
      <c r="E162" s="117"/>
      <c r="F162" t="s">
        <v>98</v>
      </c>
      <c r="G162" s="11">
        <v>74.900000000000006</v>
      </c>
      <c r="H162" s="11">
        <v>0</v>
      </c>
      <c r="I162" s="11">
        <f t="shared" ref="I162:I182" si="9">SUM(G162:H162)</f>
        <v>74.900000000000006</v>
      </c>
      <c r="J162" s="7">
        <v>201416</v>
      </c>
      <c r="L162" s="1">
        <v>42768</v>
      </c>
      <c r="M162" s="1"/>
    </row>
    <row r="163" spans="3:13" hidden="1" x14ac:dyDescent="0.3">
      <c r="C163" s="1">
        <v>42738</v>
      </c>
      <c r="D163" s="19">
        <v>201</v>
      </c>
      <c r="F163" t="s">
        <v>97</v>
      </c>
      <c r="G163" s="11">
        <v>70</v>
      </c>
      <c r="H163" s="11">
        <v>14</v>
      </c>
      <c r="I163" s="11">
        <f t="shared" si="9"/>
        <v>84</v>
      </c>
      <c r="J163" s="7">
        <v>201417</v>
      </c>
      <c r="L163" s="1">
        <v>42768</v>
      </c>
      <c r="M163" s="1"/>
    </row>
    <row r="164" spans="3:13" hidden="1" x14ac:dyDescent="0.3">
      <c r="C164" s="1">
        <v>42738</v>
      </c>
      <c r="D164" s="21" t="s">
        <v>140</v>
      </c>
      <c r="E164" s="117"/>
      <c r="G164" s="11">
        <v>775.51</v>
      </c>
      <c r="H164" s="11">
        <v>0</v>
      </c>
      <c r="I164" s="11">
        <f t="shared" si="9"/>
        <v>775.51</v>
      </c>
      <c r="J164" s="7">
        <v>201418</v>
      </c>
      <c r="L164" s="1">
        <v>42768</v>
      </c>
      <c r="M164" s="1"/>
    </row>
    <row r="165" spans="3:13" hidden="1" x14ac:dyDescent="0.3">
      <c r="C165" s="1">
        <v>42738</v>
      </c>
      <c r="D165" s="21">
        <v>203</v>
      </c>
      <c r="E165" s="117"/>
      <c r="F165" t="s">
        <v>88</v>
      </c>
      <c r="G165" s="11">
        <v>602.03</v>
      </c>
      <c r="H165" s="11">
        <v>0</v>
      </c>
      <c r="I165" s="11">
        <f t="shared" si="9"/>
        <v>602.03</v>
      </c>
      <c r="J165" s="7">
        <v>201419</v>
      </c>
      <c r="L165" s="1">
        <v>42768</v>
      </c>
      <c r="M165" s="1"/>
    </row>
    <row r="166" spans="3:13" hidden="1" x14ac:dyDescent="0.3">
      <c r="C166" s="1">
        <v>42738</v>
      </c>
      <c r="D166" s="21">
        <v>203</v>
      </c>
      <c r="E166" s="117"/>
      <c r="F166" t="s">
        <v>141</v>
      </c>
      <c r="G166" s="11">
        <v>15.07</v>
      </c>
      <c r="H166" s="11">
        <v>0</v>
      </c>
      <c r="I166" s="11">
        <f t="shared" si="9"/>
        <v>15.07</v>
      </c>
      <c r="J166" s="7">
        <v>201419</v>
      </c>
      <c r="L166" s="1">
        <v>42768</v>
      </c>
      <c r="M166" s="1"/>
    </row>
    <row r="167" spans="3:13" hidden="1" x14ac:dyDescent="0.3">
      <c r="C167" s="1">
        <v>42745</v>
      </c>
      <c r="D167" s="21">
        <v>204</v>
      </c>
      <c r="E167" s="117"/>
      <c r="F167" t="s">
        <v>142</v>
      </c>
      <c r="G167" s="11">
        <v>16.78</v>
      </c>
      <c r="H167" s="11">
        <v>0</v>
      </c>
      <c r="I167" s="11">
        <f t="shared" si="9"/>
        <v>16.78</v>
      </c>
      <c r="J167" s="7">
        <v>201420</v>
      </c>
      <c r="L167" s="1">
        <v>42768</v>
      </c>
      <c r="M167" s="1"/>
    </row>
    <row r="168" spans="3:13" hidden="1" x14ac:dyDescent="0.3">
      <c r="C168" s="1">
        <v>42745</v>
      </c>
      <c r="D168" s="21">
        <v>205</v>
      </c>
      <c r="E168" s="117"/>
      <c r="F168" t="s">
        <v>143</v>
      </c>
      <c r="G168" s="11">
        <v>185</v>
      </c>
      <c r="H168" s="11">
        <v>37</v>
      </c>
      <c r="I168" s="11">
        <f t="shared" si="9"/>
        <v>222</v>
      </c>
      <c r="J168" s="7">
        <v>201421</v>
      </c>
      <c r="L168" s="1">
        <v>42768</v>
      </c>
      <c r="M168" s="1"/>
    </row>
    <row r="169" spans="3:13" hidden="1" x14ac:dyDescent="0.3">
      <c r="D169" s="21"/>
      <c r="E169" s="117"/>
      <c r="G169" s="12">
        <f>SUM(G162:G168)</f>
        <v>1739.29</v>
      </c>
      <c r="H169" s="12">
        <f>SUM(H162:H168)</f>
        <v>51</v>
      </c>
      <c r="I169" s="12">
        <f t="shared" si="9"/>
        <v>1790.29</v>
      </c>
    </row>
    <row r="170" spans="3:13" hidden="1" x14ac:dyDescent="0.3">
      <c r="C170" s="1">
        <v>42768</v>
      </c>
      <c r="D170" s="21">
        <v>206</v>
      </c>
      <c r="E170" s="117"/>
      <c r="F170" t="s">
        <v>144</v>
      </c>
      <c r="G170" s="11">
        <v>20.84</v>
      </c>
      <c r="H170" s="11">
        <v>4.16</v>
      </c>
      <c r="I170" s="11">
        <f t="shared" si="9"/>
        <v>25</v>
      </c>
      <c r="J170" s="7">
        <v>201422</v>
      </c>
      <c r="L170" s="1">
        <v>42797</v>
      </c>
      <c r="M170" s="1"/>
    </row>
    <row r="171" spans="3:13" hidden="1" x14ac:dyDescent="0.3">
      <c r="C171" s="1">
        <v>42768</v>
      </c>
      <c r="D171" s="21">
        <v>207</v>
      </c>
      <c r="E171" s="117"/>
      <c r="F171" t="s">
        <v>127</v>
      </c>
      <c r="G171" s="11">
        <v>15.29</v>
      </c>
      <c r="H171" s="11">
        <v>0</v>
      </c>
      <c r="I171" s="11">
        <f t="shared" si="9"/>
        <v>15.29</v>
      </c>
      <c r="J171" s="7">
        <v>201423</v>
      </c>
      <c r="L171" s="1">
        <v>42797</v>
      </c>
      <c r="M171" s="1"/>
    </row>
    <row r="172" spans="3:13" hidden="1" x14ac:dyDescent="0.3">
      <c r="C172" s="1">
        <v>42768</v>
      </c>
      <c r="D172" s="21">
        <v>208</v>
      </c>
      <c r="E172" s="117"/>
      <c r="F172" t="s">
        <v>97</v>
      </c>
      <c r="G172" s="11">
        <v>69.7</v>
      </c>
      <c r="H172" s="11">
        <v>13.94</v>
      </c>
      <c r="I172" s="11">
        <f t="shared" si="9"/>
        <v>83.64</v>
      </c>
      <c r="J172" s="7">
        <v>201424</v>
      </c>
      <c r="L172" s="1">
        <v>42797</v>
      </c>
      <c r="M172" s="1"/>
    </row>
    <row r="173" spans="3:13" hidden="1" x14ac:dyDescent="0.3">
      <c r="C173" s="1">
        <v>42768</v>
      </c>
      <c r="D173" s="21">
        <v>209</v>
      </c>
      <c r="E173" s="117"/>
      <c r="F173" t="s">
        <v>145</v>
      </c>
      <c r="G173" s="11">
        <v>50</v>
      </c>
      <c r="H173" s="11">
        <v>0</v>
      </c>
      <c r="I173" s="11">
        <f t="shared" si="9"/>
        <v>50</v>
      </c>
      <c r="J173" s="7">
        <v>201425</v>
      </c>
      <c r="L173" s="1">
        <v>42797</v>
      </c>
      <c r="M173" s="1"/>
    </row>
    <row r="174" spans="3:13" hidden="1" x14ac:dyDescent="0.3">
      <c r="C174" s="1">
        <v>42768</v>
      </c>
      <c r="D174" s="21">
        <v>210</v>
      </c>
      <c r="E174" s="117"/>
      <c r="F174" t="s">
        <v>88</v>
      </c>
      <c r="G174" s="11">
        <v>602.04999999999995</v>
      </c>
      <c r="H174" s="11">
        <v>0</v>
      </c>
      <c r="I174" s="11">
        <f t="shared" si="9"/>
        <v>602.04999999999995</v>
      </c>
      <c r="J174" s="7">
        <v>201426</v>
      </c>
      <c r="L174" s="1">
        <v>42797</v>
      </c>
      <c r="M174" s="1"/>
    </row>
    <row r="175" spans="3:13" hidden="1" x14ac:dyDescent="0.3">
      <c r="C175" s="1">
        <v>42768</v>
      </c>
      <c r="D175" s="21">
        <v>210</v>
      </c>
      <c r="E175" s="117"/>
      <c r="F175" t="s">
        <v>103</v>
      </c>
      <c r="G175" s="11">
        <v>15.07</v>
      </c>
      <c r="H175" s="11">
        <v>0</v>
      </c>
      <c r="I175" s="11">
        <f t="shared" si="9"/>
        <v>15.07</v>
      </c>
      <c r="J175" s="7">
        <v>201426</v>
      </c>
      <c r="L175" s="1">
        <v>42797</v>
      </c>
      <c r="M175" s="1"/>
    </row>
    <row r="176" spans="3:13" hidden="1" x14ac:dyDescent="0.3">
      <c r="C176" s="1">
        <v>42768</v>
      </c>
      <c r="D176" s="21">
        <v>211</v>
      </c>
      <c r="E176" s="117"/>
      <c r="F176" t="s">
        <v>105</v>
      </c>
      <c r="G176" s="11">
        <v>0</v>
      </c>
      <c r="H176" s="11">
        <v>0</v>
      </c>
      <c r="I176" s="11">
        <f t="shared" si="9"/>
        <v>0</v>
      </c>
      <c r="J176" s="7">
        <v>0</v>
      </c>
      <c r="L176" s="1">
        <v>42797</v>
      </c>
      <c r="M176" s="1"/>
    </row>
    <row r="177" spans="2:13" hidden="1" x14ac:dyDescent="0.3">
      <c r="C177" s="1">
        <v>42768</v>
      </c>
      <c r="D177" s="21">
        <v>212</v>
      </c>
      <c r="E177" s="117"/>
      <c r="F177" t="s">
        <v>146</v>
      </c>
      <c r="G177" s="11">
        <v>89</v>
      </c>
      <c r="H177" s="11">
        <v>17.8</v>
      </c>
      <c r="I177" s="11">
        <f t="shared" si="9"/>
        <v>106.8</v>
      </c>
      <c r="J177" s="7">
        <v>201427</v>
      </c>
      <c r="L177" s="1">
        <v>42797</v>
      </c>
      <c r="M177" s="1"/>
    </row>
    <row r="178" spans="2:13" hidden="1" x14ac:dyDescent="0.3">
      <c r="C178" s="1">
        <v>42773</v>
      </c>
      <c r="D178" s="21">
        <v>213</v>
      </c>
      <c r="E178" s="117"/>
      <c r="F178" t="s">
        <v>147</v>
      </c>
      <c r="G178" s="11">
        <v>318.14999999999998</v>
      </c>
      <c r="H178" s="11">
        <v>0</v>
      </c>
      <c r="I178" s="11">
        <f t="shared" si="9"/>
        <v>318.14999999999998</v>
      </c>
      <c r="J178" s="7">
        <v>201428</v>
      </c>
      <c r="L178" s="1">
        <v>42797</v>
      </c>
      <c r="M178" s="1"/>
    </row>
    <row r="179" spans="2:13" hidden="1" x14ac:dyDescent="0.3">
      <c r="C179" s="1">
        <v>42773</v>
      </c>
      <c r="D179" s="21">
        <v>214</v>
      </c>
      <c r="E179" s="117"/>
      <c r="F179" t="s">
        <v>148</v>
      </c>
      <c r="G179" s="11">
        <v>122</v>
      </c>
      <c r="H179" s="11">
        <v>0</v>
      </c>
      <c r="I179" s="11">
        <f t="shared" si="9"/>
        <v>122</v>
      </c>
      <c r="J179" s="7">
        <v>201429</v>
      </c>
      <c r="L179" s="1">
        <v>42797</v>
      </c>
      <c r="M179" s="1"/>
    </row>
    <row r="180" spans="2:13" hidden="1" x14ac:dyDescent="0.3">
      <c r="B180" s="1"/>
      <c r="C180" s="1">
        <v>42785</v>
      </c>
      <c r="D180" s="21">
        <v>215</v>
      </c>
      <c r="E180" s="117"/>
      <c r="F180" t="s">
        <v>128</v>
      </c>
      <c r="G180" s="11">
        <v>15.58</v>
      </c>
      <c r="H180" s="11">
        <v>0</v>
      </c>
      <c r="I180" s="11">
        <f t="shared" si="9"/>
        <v>15.58</v>
      </c>
      <c r="J180" s="7">
        <v>201433</v>
      </c>
      <c r="L180" s="1">
        <v>42797</v>
      </c>
      <c r="M180" s="1"/>
    </row>
    <row r="181" spans="2:13" hidden="1" x14ac:dyDescent="0.3">
      <c r="C181" s="1">
        <v>42785</v>
      </c>
      <c r="D181" s="21">
        <v>216</v>
      </c>
      <c r="E181" s="117"/>
      <c r="F181" t="s">
        <v>93</v>
      </c>
      <c r="G181" s="11">
        <v>20.48</v>
      </c>
      <c r="H181" s="11">
        <v>4.0999999999999996</v>
      </c>
      <c r="I181" s="11">
        <f t="shared" si="9"/>
        <v>24.58</v>
      </c>
      <c r="J181" s="7">
        <v>201430</v>
      </c>
      <c r="L181" s="1">
        <v>42797</v>
      </c>
      <c r="M181" s="1"/>
    </row>
    <row r="182" spans="2:13" hidden="1" x14ac:dyDescent="0.3">
      <c r="C182" s="1">
        <v>42419</v>
      </c>
      <c r="D182" s="21">
        <v>217</v>
      </c>
      <c r="E182" s="117"/>
      <c r="F182" t="s">
        <v>149</v>
      </c>
      <c r="G182" s="11">
        <v>26.49</v>
      </c>
      <c r="H182" s="11">
        <v>5.3</v>
      </c>
      <c r="I182" s="11">
        <f t="shared" si="9"/>
        <v>31.79</v>
      </c>
      <c r="J182" s="7">
        <v>201431</v>
      </c>
      <c r="L182" s="1">
        <v>42797</v>
      </c>
      <c r="M182" s="1"/>
    </row>
    <row r="183" spans="2:13" hidden="1" x14ac:dyDescent="0.3">
      <c r="C183" s="1">
        <v>42786</v>
      </c>
      <c r="D183" s="21"/>
      <c r="E183" s="117"/>
      <c r="F183" t="s">
        <v>150</v>
      </c>
      <c r="G183" s="11">
        <v>15</v>
      </c>
      <c r="H183" s="11">
        <v>0</v>
      </c>
      <c r="I183" s="11">
        <v>15</v>
      </c>
      <c r="J183" s="7" t="s">
        <v>57</v>
      </c>
      <c r="L183" s="1">
        <v>42797</v>
      </c>
      <c r="M183" s="1"/>
    </row>
    <row r="184" spans="2:13" hidden="1" x14ac:dyDescent="0.3">
      <c r="C184" s="1">
        <v>42795</v>
      </c>
      <c r="D184" s="21">
        <v>189</v>
      </c>
      <c r="E184" s="117"/>
      <c r="F184" t="s">
        <v>78</v>
      </c>
      <c r="G184" s="11">
        <v>-126</v>
      </c>
      <c r="I184" s="11">
        <v>-126</v>
      </c>
      <c r="J184" s="7">
        <v>201405</v>
      </c>
      <c r="L184" s="1">
        <v>42797</v>
      </c>
      <c r="M184" s="1"/>
    </row>
    <row r="185" spans="2:13" hidden="1" x14ac:dyDescent="0.3">
      <c r="C185" s="1">
        <v>42795</v>
      </c>
      <c r="D185" s="21">
        <v>118</v>
      </c>
      <c r="E185" s="117"/>
      <c r="F185" t="s">
        <v>78</v>
      </c>
      <c r="G185" s="11">
        <v>-42</v>
      </c>
      <c r="I185" s="11">
        <v>-42</v>
      </c>
      <c r="J185" s="7">
        <v>201532</v>
      </c>
      <c r="L185" s="1">
        <v>42797</v>
      </c>
      <c r="M185" s="1"/>
    </row>
    <row r="186" spans="2:13" s="5" customFormat="1" hidden="1" x14ac:dyDescent="0.3">
      <c r="D186" s="22"/>
      <c r="E186" s="113"/>
      <c r="G186" s="12">
        <f>SUM(G170:G185)</f>
        <v>1211.6499999999999</v>
      </c>
      <c r="H186" s="12">
        <f>SUM(H170:H185)</f>
        <v>45.300000000000004</v>
      </c>
      <c r="I186" s="12">
        <f>SUM(I170:I185)</f>
        <v>1256.9499999999998</v>
      </c>
      <c r="J186" s="16"/>
      <c r="K186" s="8"/>
    </row>
    <row r="187" spans="2:13" hidden="1" x14ac:dyDescent="0.3">
      <c r="C187" s="1">
        <v>42793</v>
      </c>
      <c r="D187" s="21">
        <v>213</v>
      </c>
      <c r="E187" s="117"/>
      <c r="F187" t="s">
        <v>147</v>
      </c>
      <c r="G187" s="11">
        <v>318.14999999999998</v>
      </c>
      <c r="I187" s="11">
        <v>318.14999999999998</v>
      </c>
      <c r="J187" s="7">
        <v>201432</v>
      </c>
      <c r="L187" s="1">
        <v>42828</v>
      </c>
      <c r="M187" s="1"/>
    </row>
    <row r="188" spans="2:13" hidden="1" x14ac:dyDescent="0.3">
      <c r="C188" s="1">
        <v>42795</v>
      </c>
      <c r="D188" s="21">
        <v>218</v>
      </c>
      <c r="E188" s="117"/>
      <c r="F188" t="s">
        <v>151</v>
      </c>
      <c r="G188" s="11">
        <v>602.04999999999995</v>
      </c>
      <c r="I188" s="11">
        <v>602.04999999999995</v>
      </c>
      <c r="J188" s="7">
        <v>201434</v>
      </c>
      <c r="L188" s="1">
        <v>42828</v>
      </c>
      <c r="M188" s="1"/>
    </row>
    <row r="189" spans="2:13" hidden="1" x14ac:dyDescent="0.3">
      <c r="C189" s="1">
        <v>42795</v>
      </c>
      <c r="D189" s="21">
        <v>218</v>
      </c>
      <c r="E189" s="117"/>
      <c r="F189" t="s">
        <v>152</v>
      </c>
      <c r="G189" s="11">
        <v>15.07</v>
      </c>
      <c r="I189" s="11">
        <v>15.07</v>
      </c>
      <c r="J189" s="7">
        <v>201434</v>
      </c>
      <c r="L189" s="1">
        <v>42828</v>
      </c>
      <c r="M189" s="1"/>
    </row>
    <row r="190" spans="2:13" hidden="1" x14ac:dyDescent="0.3">
      <c r="C190" s="1">
        <v>42795</v>
      </c>
      <c r="D190" s="21">
        <v>218</v>
      </c>
      <c r="E190" s="117"/>
      <c r="F190" t="s">
        <v>113</v>
      </c>
      <c r="G190" s="11">
        <v>49.5</v>
      </c>
      <c r="I190" s="11">
        <v>49.5</v>
      </c>
      <c r="J190" s="7">
        <v>201434</v>
      </c>
      <c r="L190" s="1">
        <v>42828</v>
      </c>
      <c r="M190" s="1"/>
    </row>
    <row r="191" spans="2:13" hidden="1" x14ac:dyDescent="0.3">
      <c r="C191" s="1">
        <v>42813</v>
      </c>
      <c r="D191" s="21">
        <v>219</v>
      </c>
      <c r="E191" s="117"/>
      <c r="F191" t="s">
        <v>153</v>
      </c>
      <c r="G191" s="11">
        <v>250</v>
      </c>
      <c r="H191" s="11">
        <v>50</v>
      </c>
      <c r="I191" s="11">
        <f>SUM(G191:H191)</f>
        <v>300</v>
      </c>
      <c r="J191" s="7">
        <v>201435</v>
      </c>
      <c r="L191" s="1">
        <v>42828</v>
      </c>
      <c r="M191" s="1"/>
    </row>
    <row r="192" spans="2:13" hidden="1" x14ac:dyDescent="0.3">
      <c r="C192" s="1">
        <v>42813</v>
      </c>
      <c r="D192" s="21">
        <v>220</v>
      </c>
      <c r="E192" s="117"/>
      <c r="F192" t="s">
        <v>154</v>
      </c>
      <c r="G192" s="11">
        <v>555</v>
      </c>
      <c r="H192" s="11">
        <v>111</v>
      </c>
      <c r="I192" s="11">
        <f>SUM(G192:H192)</f>
        <v>666</v>
      </c>
      <c r="J192" s="7">
        <v>201436</v>
      </c>
      <c r="L192" s="1">
        <v>42828</v>
      </c>
      <c r="M192" s="1"/>
    </row>
    <row r="193" spans="3:19" hidden="1" x14ac:dyDescent="0.3">
      <c r="C193" s="1">
        <v>42813</v>
      </c>
      <c r="D193" s="21">
        <v>221</v>
      </c>
      <c r="E193" s="117"/>
      <c r="F193" t="s">
        <v>39</v>
      </c>
      <c r="G193" s="11">
        <v>180</v>
      </c>
      <c r="H193" s="11">
        <v>0</v>
      </c>
      <c r="I193" s="11">
        <f>SUM(G193:H193)</f>
        <v>180</v>
      </c>
      <c r="J193" s="7">
        <v>201437</v>
      </c>
      <c r="L193" s="1">
        <v>42828</v>
      </c>
      <c r="M193" s="1"/>
    </row>
    <row r="194" spans="3:19" hidden="1" x14ac:dyDescent="0.3">
      <c r="C194" s="1">
        <v>42813</v>
      </c>
      <c r="D194" s="21">
        <v>222</v>
      </c>
      <c r="E194" s="117"/>
      <c r="F194" t="s">
        <v>155</v>
      </c>
      <c r="G194" s="11">
        <v>693</v>
      </c>
      <c r="H194" s="11">
        <v>0</v>
      </c>
      <c r="I194" s="11">
        <f>SUM(G194:H194)</f>
        <v>693</v>
      </c>
      <c r="J194" s="7" t="s">
        <v>156</v>
      </c>
      <c r="L194" s="1">
        <v>42828</v>
      </c>
      <c r="M194" s="1"/>
    </row>
    <row r="195" spans="3:19" hidden="1" x14ac:dyDescent="0.3">
      <c r="D195" s="21"/>
      <c r="E195" s="117"/>
      <c r="G195" s="12">
        <f>SUM(G187:G194)</f>
        <v>2662.77</v>
      </c>
      <c r="H195" s="12">
        <f>SUM(H187:H194)</f>
        <v>161</v>
      </c>
      <c r="I195" s="12">
        <f>SUM(I187:I194)</f>
        <v>2823.77</v>
      </c>
    </row>
    <row r="196" spans="3:19" s="13" customFormat="1" hidden="1" x14ac:dyDescent="0.3">
      <c r="D196" s="24"/>
      <c r="E196" s="119"/>
      <c r="G196" s="15"/>
      <c r="H196" s="15"/>
      <c r="I196" s="15"/>
      <c r="J196" s="17"/>
      <c r="K196" s="25"/>
    </row>
    <row r="197" spans="3:19" hidden="1" x14ac:dyDescent="0.3">
      <c r="C197" s="1">
        <v>42829</v>
      </c>
      <c r="D197" s="21">
        <v>223</v>
      </c>
      <c r="E197" s="117"/>
      <c r="F197" t="s">
        <v>97</v>
      </c>
      <c r="G197" s="11">
        <v>70</v>
      </c>
      <c r="H197" s="11">
        <v>14</v>
      </c>
      <c r="I197" s="11">
        <v>84</v>
      </c>
      <c r="J197" s="7">
        <v>201438</v>
      </c>
    </row>
    <row r="198" spans="3:19" hidden="1" x14ac:dyDescent="0.3">
      <c r="D198" s="21">
        <v>224</v>
      </c>
      <c r="E198" s="117"/>
      <c r="F198" t="s">
        <v>159</v>
      </c>
      <c r="G198" s="11">
        <v>608.04999999999995</v>
      </c>
      <c r="H198" s="11">
        <v>0</v>
      </c>
      <c r="I198" s="11">
        <v>608.04999999999995</v>
      </c>
      <c r="J198" s="7">
        <v>201439</v>
      </c>
    </row>
    <row r="199" spans="3:19" hidden="1" x14ac:dyDescent="0.3">
      <c r="D199" s="21">
        <v>224</v>
      </c>
      <c r="E199" s="117"/>
      <c r="F199" t="s">
        <v>160</v>
      </c>
      <c r="G199" s="11">
        <v>15.07</v>
      </c>
      <c r="H199" s="11">
        <v>0</v>
      </c>
      <c r="I199" s="11">
        <v>15.07</v>
      </c>
      <c r="J199" s="7">
        <v>201439</v>
      </c>
    </row>
    <row r="200" spans="3:19" hidden="1" x14ac:dyDescent="0.3">
      <c r="D200" s="21">
        <v>224</v>
      </c>
      <c r="E200" s="117"/>
      <c r="F200" t="s">
        <v>161</v>
      </c>
      <c r="G200" s="11">
        <v>40.5</v>
      </c>
      <c r="H200" s="11">
        <v>0</v>
      </c>
      <c r="I200" s="11">
        <v>40.5</v>
      </c>
      <c r="J200" s="7">
        <v>201439</v>
      </c>
    </row>
    <row r="201" spans="3:19" hidden="1" x14ac:dyDescent="0.3">
      <c r="D201" s="21">
        <v>225</v>
      </c>
      <c r="E201" s="117"/>
      <c r="F201" t="s">
        <v>39</v>
      </c>
      <c r="G201" s="11">
        <v>180</v>
      </c>
      <c r="H201" s="11">
        <v>0</v>
      </c>
      <c r="I201" s="11">
        <v>180</v>
      </c>
      <c r="J201" s="7">
        <v>201440</v>
      </c>
    </row>
    <row r="202" spans="3:19" hidden="1" x14ac:dyDescent="0.3">
      <c r="D202" s="21"/>
      <c r="E202" s="117"/>
      <c r="G202" s="12">
        <f>SUM(G197:G201)</f>
        <v>913.62</v>
      </c>
      <c r="H202" s="12">
        <f>SUM(H197:H201)</f>
        <v>14</v>
      </c>
      <c r="I202" s="12">
        <f>SUM(I197:I201)</f>
        <v>927.62</v>
      </c>
      <c r="S202" s="5" t="s">
        <v>68</v>
      </c>
    </row>
    <row r="203" spans="3:19" hidden="1" x14ac:dyDescent="0.3">
      <c r="C203" s="1">
        <v>42857</v>
      </c>
      <c r="D203" s="21">
        <v>226</v>
      </c>
      <c r="E203" s="117"/>
      <c r="F203" t="s">
        <v>162</v>
      </c>
      <c r="G203" s="11">
        <v>25</v>
      </c>
      <c r="H203" s="11">
        <v>0</v>
      </c>
      <c r="I203" s="11">
        <v>25</v>
      </c>
      <c r="J203" s="7">
        <v>201441</v>
      </c>
      <c r="N203" s="5"/>
      <c r="O203" s="5"/>
      <c r="P203" s="5"/>
      <c r="Q203" s="5" t="s">
        <v>13</v>
      </c>
      <c r="R203" s="5" t="s">
        <v>14</v>
      </c>
      <c r="S203" s="5">
        <v>983.39</v>
      </c>
    </row>
    <row r="204" spans="3:19" hidden="1" x14ac:dyDescent="0.3">
      <c r="D204" s="21">
        <v>227</v>
      </c>
      <c r="E204" s="117"/>
      <c r="F204" t="s">
        <v>159</v>
      </c>
      <c r="G204" s="11">
        <v>608.04999999999995</v>
      </c>
      <c r="H204" s="11">
        <v>0</v>
      </c>
      <c r="I204" s="11">
        <v>608.04999999999995</v>
      </c>
      <c r="J204" s="7">
        <v>201442</v>
      </c>
      <c r="N204" s="5" t="s">
        <v>5</v>
      </c>
      <c r="O204" s="5"/>
      <c r="Q204">
        <v>366.96</v>
      </c>
      <c r="R204">
        <v>0</v>
      </c>
      <c r="S204" t="e">
        <f>S203-#REF!+Q204+R204</f>
        <v>#REF!</v>
      </c>
    </row>
    <row r="205" spans="3:19" hidden="1" x14ac:dyDescent="0.3">
      <c r="D205" s="19">
        <v>227</v>
      </c>
      <c r="F205" t="s">
        <v>160</v>
      </c>
      <c r="G205" s="11">
        <v>15.07</v>
      </c>
      <c r="H205" s="11">
        <v>0</v>
      </c>
      <c r="I205" s="11">
        <v>15.07</v>
      </c>
      <c r="J205" s="7">
        <v>201442</v>
      </c>
      <c r="N205" s="5" t="s">
        <v>7</v>
      </c>
      <c r="O205" s="5"/>
      <c r="Q205">
        <v>361.76</v>
      </c>
      <c r="R205">
        <v>2000</v>
      </c>
      <c r="S205" t="e">
        <f>S204+R205+Q205-#REF!</f>
        <v>#REF!</v>
      </c>
    </row>
    <row r="206" spans="3:19" hidden="1" x14ac:dyDescent="0.3">
      <c r="D206" s="21">
        <v>228</v>
      </c>
      <c r="E206" s="117"/>
      <c r="F206" t="s">
        <v>97</v>
      </c>
      <c r="G206" s="11">
        <v>73.7</v>
      </c>
      <c r="H206" s="11">
        <v>14.74</v>
      </c>
      <c r="I206" s="11">
        <v>88.44</v>
      </c>
      <c r="J206" s="7">
        <v>201443</v>
      </c>
      <c r="N206" s="5" t="s">
        <v>8</v>
      </c>
      <c r="O206" s="5"/>
      <c r="Q206">
        <v>372.56</v>
      </c>
      <c r="R206">
        <v>2000</v>
      </c>
      <c r="S206" t="e">
        <f>S205-#REF!+Q206+R206</f>
        <v>#REF!</v>
      </c>
    </row>
    <row r="207" spans="3:19" hidden="1" x14ac:dyDescent="0.3">
      <c r="D207" s="21">
        <v>229</v>
      </c>
      <c r="E207" s="117"/>
      <c r="F207" t="s">
        <v>163</v>
      </c>
      <c r="G207" s="11">
        <v>19.86</v>
      </c>
      <c r="H207" s="11">
        <v>0</v>
      </c>
      <c r="I207" s="11">
        <v>19.86</v>
      </c>
      <c r="J207" s="7">
        <v>201444</v>
      </c>
      <c r="N207" s="5" t="s">
        <v>9</v>
      </c>
      <c r="O207" s="5"/>
      <c r="Q207">
        <v>354.72</v>
      </c>
      <c r="R207">
        <v>1000</v>
      </c>
      <c r="S207" s="4" t="e">
        <f>S206-#REF!+Q207+R207</f>
        <v>#REF!</v>
      </c>
    </row>
    <row r="208" spans="3:19" hidden="1" x14ac:dyDescent="0.3">
      <c r="D208" s="21">
        <v>230</v>
      </c>
      <c r="E208" s="117"/>
      <c r="F208" t="s">
        <v>149</v>
      </c>
      <c r="G208" s="11">
        <v>21.59</v>
      </c>
      <c r="H208" s="11">
        <v>4.3099999999999996</v>
      </c>
      <c r="I208" s="11">
        <v>25.9</v>
      </c>
      <c r="J208" s="7">
        <v>201445</v>
      </c>
      <c r="N208" s="5" t="s">
        <v>10</v>
      </c>
      <c r="O208" s="5"/>
      <c r="Q208" s="4">
        <v>93.76</v>
      </c>
      <c r="R208">
        <v>2000</v>
      </c>
      <c r="S208" t="e">
        <f>S207-#REF!+Q208+R208</f>
        <v>#REF!</v>
      </c>
    </row>
    <row r="209" spans="2:19" hidden="1" x14ac:dyDescent="0.3">
      <c r="D209" s="21">
        <v>231</v>
      </c>
      <c r="E209" s="117"/>
      <c r="F209" t="s">
        <v>128</v>
      </c>
      <c r="G209" s="11">
        <v>13.44</v>
      </c>
      <c r="H209" s="11">
        <v>0</v>
      </c>
      <c r="I209" s="11">
        <v>13.44</v>
      </c>
      <c r="J209" s="7">
        <v>201446</v>
      </c>
      <c r="N209" s="5" t="s">
        <v>11</v>
      </c>
      <c r="O209" s="5"/>
      <c r="Q209">
        <v>919.5</v>
      </c>
      <c r="R209">
        <v>1000</v>
      </c>
      <c r="S209" t="e">
        <f>S208-#REF!+Q209+1000</f>
        <v>#REF!</v>
      </c>
    </row>
    <row r="210" spans="2:19" hidden="1" x14ac:dyDescent="0.3">
      <c r="D210" s="21">
        <v>232</v>
      </c>
      <c r="E210" s="117"/>
      <c r="F210" t="s">
        <v>39</v>
      </c>
      <c r="G210" s="11">
        <v>180</v>
      </c>
      <c r="H210" s="11">
        <v>0</v>
      </c>
      <c r="I210" s="11">
        <v>180</v>
      </c>
      <c r="J210" s="7">
        <v>201447</v>
      </c>
      <c r="N210" s="5" t="s">
        <v>15</v>
      </c>
      <c r="O210" s="5"/>
      <c r="Q210">
        <v>12.48</v>
      </c>
      <c r="R210">
        <v>0</v>
      </c>
      <c r="S210" t="e">
        <f>S209-#REF!+Q210+R210</f>
        <v>#REF!</v>
      </c>
    </row>
    <row r="211" spans="2:19" hidden="1" x14ac:dyDescent="0.3">
      <c r="D211" s="21">
        <v>233</v>
      </c>
      <c r="E211" s="117"/>
      <c r="F211" t="s">
        <v>164</v>
      </c>
      <c r="G211" s="11">
        <v>100</v>
      </c>
      <c r="H211" s="11">
        <v>20</v>
      </c>
      <c r="I211" s="11">
        <v>120</v>
      </c>
      <c r="J211" s="7">
        <v>201448</v>
      </c>
      <c r="N211" s="5" t="s">
        <v>16</v>
      </c>
      <c r="O211" s="5"/>
      <c r="Q211">
        <v>595.67999999999995</v>
      </c>
      <c r="R211">
        <v>6000</v>
      </c>
      <c r="S211" t="e">
        <f>S210-#REF!+Q211+R211</f>
        <v>#REF!</v>
      </c>
    </row>
    <row r="212" spans="2:19" hidden="1" x14ac:dyDescent="0.3">
      <c r="D212" s="21">
        <v>234</v>
      </c>
      <c r="E212" s="117"/>
      <c r="F212" t="s">
        <v>82</v>
      </c>
      <c r="G212" s="11">
        <v>631.85</v>
      </c>
      <c r="H212" s="11">
        <v>31.59</v>
      </c>
      <c r="I212" s="11">
        <v>663.44</v>
      </c>
      <c r="J212" s="7">
        <v>201449</v>
      </c>
      <c r="N212" s="5" t="s">
        <v>17</v>
      </c>
      <c r="O212" s="5"/>
      <c r="P212" s="11"/>
      <c r="Q212" s="11">
        <v>3122.76</v>
      </c>
      <c r="R212" s="11">
        <v>2000</v>
      </c>
      <c r="S212" s="11" t="e">
        <f>S211-#REF!+Q212+R212</f>
        <v>#REF!</v>
      </c>
    </row>
    <row r="213" spans="2:19" hidden="1" x14ac:dyDescent="0.3">
      <c r="G213" s="12">
        <f>SUM(G203:G212)</f>
        <v>1688.56</v>
      </c>
      <c r="H213" s="12">
        <f>SUM(H203:H212)</f>
        <v>70.64</v>
      </c>
      <c r="I213" s="12">
        <f>SUM(I203:I212)</f>
        <v>1759.2</v>
      </c>
      <c r="N213" s="5" t="s">
        <v>18</v>
      </c>
      <c r="O213" s="5"/>
      <c r="Q213">
        <v>990.6</v>
      </c>
      <c r="R213">
        <v>1500</v>
      </c>
      <c r="S213" s="11" t="e">
        <f>S212-#REF!+Q213+R213</f>
        <v>#REF!</v>
      </c>
    </row>
    <row r="214" spans="2:19" hidden="1" x14ac:dyDescent="0.3">
      <c r="B214" t="s">
        <v>175</v>
      </c>
      <c r="C214" s="1">
        <v>42892</v>
      </c>
      <c r="D214" s="21">
        <v>235</v>
      </c>
      <c r="E214" s="117"/>
      <c r="F214" t="s">
        <v>167</v>
      </c>
      <c r="G214" s="11">
        <v>185</v>
      </c>
      <c r="H214" s="11">
        <v>37</v>
      </c>
      <c r="I214" s="11">
        <f t="shared" ref="I214:I234" si="10">SUM(G214:H214)</f>
        <v>222</v>
      </c>
      <c r="J214" s="7">
        <v>201450</v>
      </c>
      <c r="N214" s="5" t="s">
        <v>19</v>
      </c>
      <c r="O214" s="5"/>
      <c r="Q214">
        <v>209.84</v>
      </c>
      <c r="R214">
        <v>0</v>
      </c>
      <c r="S214" s="11" t="e">
        <f>S213-#REF!+Q214</f>
        <v>#REF!</v>
      </c>
    </row>
    <row r="215" spans="2:19" hidden="1" x14ac:dyDescent="0.3">
      <c r="D215" s="21">
        <v>236</v>
      </c>
      <c r="E215" s="117"/>
      <c r="F215" t="s">
        <v>168</v>
      </c>
      <c r="G215" s="11">
        <v>42.3</v>
      </c>
      <c r="H215" s="11">
        <v>8.4600000000000009</v>
      </c>
      <c r="I215" s="11">
        <f t="shared" si="10"/>
        <v>50.76</v>
      </c>
      <c r="J215" s="7">
        <v>201451</v>
      </c>
      <c r="N215" s="5" t="s">
        <v>20</v>
      </c>
      <c r="O215" s="5"/>
      <c r="Q215">
        <v>2190.6799999999998</v>
      </c>
      <c r="R215">
        <v>0</v>
      </c>
      <c r="S215" s="11" t="e">
        <f>S214-#REF!+Q215+R215</f>
        <v>#REF!</v>
      </c>
    </row>
    <row r="216" spans="2:19" hidden="1" x14ac:dyDescent="0.3">
      <c r="D216" s="21">
        <v>237</v>
      </c>
      <c r="E216" s="117"/>
      <c r="F216" t="s">
        <v>169</v>
      </c>
      <c r="G216" s="11">
        <v>232</v>
      </c>
      <c r="H216" s="11">
        <v>0</v>
      </c>
      <c r="I216" s="11">
        <f t="shared" si="10"/>
        <v>232</v>
      </c>
      <c r="J216" s="7">
        <v>201452</v>
      </c>
    </row>
    <row r="217" spans="2:19" hidden="1" x14ac:dyDescent="0.3">
      <c r="D217" s="21">
        <v>238</v>
      </c>
      <c r="E217" s="117"/>
      <c r="F217" t="s">
        <v>31</v>
      </c>
      <c r="G217" s="11">
        <v>200</v>
      </c>
      <c r="H217" s="11">
        <v>0</v>
      </c>
      <c r="I217" s="11">
        <f t="shared" si="10"/>
        <v>200</v>
      </c>
      <c r="J217" s="7">
        <v>201453</v>
      </c>
      <c r="Q217">
        <f>SUM(Q204:Q216)</f>
        <v>9591.3000000000011</v>
      </c>
      <c r="R217">
        <f>SUM(R204:R216)</f>
        <v>17500</v>
      </c>
    </row>
    <row r="218" spans="2:19" hidden="1" x14ac:dyDescent="0.3">
      <c r="D218" s="21">
        <v>239</v>
      </c>
      <c r="E218" s="117"/>
      <c r="F218" t="s">
        <v>170</v>
      </c>
      <c r="G218" s="11">
        <v>15</v>
      </c>
      <c r="H218" s="11">
        <v>0</v>
      </c>
      <c r="I218" s="11">
        <f t="shared" si="10"/>
        <v>15</v>
      </c>
      <c r="J218" s="7">
        <v>201454</v>
      </c>
    </row>
    <row r="219" spans="2:19" hidden="1" x14ac:dyDescent="0.3">
      <c r="D219" s="21">
        <v>240</v>
      </c>
      <c r="E219" s="117"/>
      <c r="F219" t="s">
        <v>159</v>
      </c>
      <c r="G219" s="11">
        <v>608.04999999999995</v>
      </c>
      <c r="H219" s="11">
        <v>0</v>
      </c>
      <c r="I219" s="11">
        <f t="shared" si="10"/>
        <v>608.04999999999995</v>
      </c>
      <c r="J219" s="7">
        <v>201454</v>
      </c>
    </row>
    <row r="220" spans="2:19" hidden="1" x14ac:dyDescent="0.3">
      <c r="D220" s="21">
        <v>240</v>
      </c>
      <c r="E220" s="117"/>
      <c r="F220" t="s">
        <v>160</v>
      </c>
      <c r="G220" s="11">
        <v>15.07</v>
      </c>
      <c r="H220" s="11">
        <v>0</v>
      </c>
      <c r="I220" s="11">
        <f t="shared" si="10"/>
        <v>15.07</v>
      </c>
      <c r="J220" s="7">
        <v>201455</v>
      </c>
    </row>
    <row r="221" spans="2:19" hidden="1" x14ac:dyDescent="0.3">
      <c r="D221" s="21">
        <v>241</v>
      </c>
      <c r="E221" s="117"/>
      <c r="F221" t="s">
        <v>171</v>
      </c>
      <c r="G221" s="11">
        <v>40</v>
      </c>
      <c r="H221" s="11">
        <v>0</v>
      </c>
      <c r="I221" s="11">
        <f t="shared" si="10"/>
        <v>40</v>
      </c>
      <c r="J221" s="7">
        <v>201456</v>
      </c>
    </row>
    <row r="222" spans="2:19" hidden="1" x14ac:dyDescent="0.3">
      <c r="D222" s="21">
        <v>242</v>
      </c>
      <c r="E222" s="117"/>
      <c r="F222" t="s">
        <v>172</v>
      </c>
      <c r="G222" s="11">
        <v>185</v>
      </c>
      <c r="H222" s="11">
        <v>37</v>
      </c>
      <c r="I222" s="11">
        <f t="shared" si="10"/>
        <v>222</v>
      </c>
      <c r="J222" s="7">
        <v>201457</v>
      </c>
    </row>
    <row r="223" spans="2:19" hidden="1" x14ac:dyDescent="0.3">
      <c r="D223" s="21">
        <v>243</v>
      </c>
      <c r="E223" s="117"/>
      <c r="F223" t="s">
        <v>39</v>
      </c>
      <c r="G223" s="11">
        <v>477.5</v>
      </c>
      <c r="H223" s="11">
        <v>0</v>
      </c>
      <c r="I223" s="11">
        <f t="shared" si="10"/>
        <v>477.5</v>
      </c>
      <c r="J223" s="7">
        <v>201458</v>
      </c>
    </row>
    <row r="224" spans="2:19" hidden="1" x14ac:dyDescent="0.3">
      <c r="D224" s="21"/>
      <c r="E224" s="117"/>
      <c r="G224" s="12">
        <f>SUM(G214:G223)</f>
        <v>1999.9199999999998</v>
      </c>
      <c r="H224" s="12">
        <f>SUM(H214:H223)</f>
        <v>82.460000000000008</v>
      </c>
      <c r="I224" s="12">
        <f t="shared" si="10"/>
        <v>2082.3799999999997</v>
      </c>
    </row>
    <row r="225" spans="2:10" hidden="1" x14ac:dyDescent="0.3">
      <c r="B225" t="s">
        <v>174</v>
      </c>
      <c r="C225" s="1">
        <v>42919</v>
      </c>
      <c r="D225" s="21">
        <v>244</v>
      </c>
      <c r="E225" s="117"/>
      <c r="F225" t="s">
        <v>173</v>
      </c>
      <c r="G225" s="11">
        <v>16.989999999999998</v>
      </c>
      <c r="H225" s="11">
        <v>0</v>
      </c>
      <c r="I225" s="11">
        <f t="shared" si="10"/>
        <v>16.989999999999998</v>
      </c>
      <c r="J225" s="7">
        <v>201459</v>
      </c>
    </row>
    <row r="226" spans="2:10" hidden="1" x14ac:dyDescent="0.3">
      <c r="C226" s="1">
        <v>42919</v>
      </c>
      <c r="D226" s="21">
        <v>245</v>
      </c>
      <c r="E226" s="117"/>
      <c r="F226" t="s">
        <v>128</v>
      </c>
      <c r="G226" s="11">
        <v>18.440000000000001</v>
      </c>
      <c r="H226" s="11">
        <v>0</v>
      </c>
      <c r="I226" s="11">
        <f t="shared" si="10"/>
        <v>18.440000000000001</v>
      </c>
      <c r="J226" s="7">
        <v>201460</v>
      </c>
    </row>
    <row r="227" spans="2:10" hidden="1" x14ac:dyDescent="0.3">
      <c r="C227" s="1">
        <v>42919</v>
      </c>
      <c r="D227" s="21">
        <v>246</v>
      </c>
      <c r="E227" s="117"/>
      <c r="F227" t="s">
        <v>97</v>
      </c>
      <c r="G227" s="11">
        <v>70</v>
      </c>
      <c r="H227" s="11">
        <v>14</v>
      </c>
      <c r="I227" s="11">
        <f t="shared" si="10"/>
        <v>84</v>
      </c>
      <c r="J227" s="7">
        <v>201461</v>
      </c>
    </row>
    <row r="228" spans="2:10" hidden="1" x14ac:dyDescent="0.3">
      <c r="C228" s="1">
        <v>42919</v>
      </c>
      <c r="D228" s="21">
        <v>247</v>
      </c>
      <c r="E228" s="117"/>
      <c r="F228" t="s">
        <v>98</v>
      </c>
      <c r="G228" s="11">
        <v>74.349999999999994</v>
      </c>
      <c r="H228" s="11">
        <v>0</v>
      </c>
      <c r="I228" s="11">
        <f t="shared" si="10"/>
        <v>74.349999999999994</v>
      </c>
      <c r="J228" s="7">
        <v>201462</v>
      </c>
    </row>
    <row r="229" spans="2:10" hidden="1" x14ac:dyDescent="0.3">
      <c r="C229" s="1">
        <v>42919</v>
      </c>
      <c r="D229" s="21">
        <v>248</v>
      </c>
      <c r="E229" s="117"/>
      <c r="F229" t="s">
        <v>153</v>
      </c>
      <c r="G229" s="11">
        <v>108</v>
      </c>
      <c r="H229" s="11">
        <v>0</v>
      </c>
      <c r="I229" s="11">
        <f t="shared" si="10"/>
        <v>108</v>
      </c>
      <c r="J229" s="7">
        <v>201463</v>
      </c>
    </row>
    <row r="230" spans="2:10" hidden="1" x14ac:dyDescent="0.3">
      <c r="C230" s="1">
        <v>42919</v>
      </c>
      <c r="D230" s="21">
        <v>249</v>
      </c>
      <c r="E230" s="117"/>
      <c r="F230" t="s">
        <v>159</v>
      </c>
      <c r="G230" s="11">
        <v>608.04999999999995</v>
      </c>
      <c r="H230" s="11">
        <v>0</v>
      </c>
      <c r="I230" s="11">
        <f t="shared" si="10"/>
        <v>608.04999999999995</v>
      </c>
      <c r="J230" s="7">
        <v>201464</v>
      </c>
    </row>
    <row r="231" spans="2:10" hidden="1" x14ac:dyDescent="0.3">
      <c r="C231" s="1">
        <v>42919</v>
      </c>
      <c r="D231" s="21">
        <v>249</v>
      </c>
      <c r="E231" s="117"/>
      <c r="F231" t="s">
        <v>160</v>
      </c>
      <c r="G231" s="11">
        <v>15.07</v>
      </c>
      <c r="H231" s="11">
        <v>0</v>
      </c>
      <c r="I231" s="11">
        <f t="shared" si="10"/>
        <v>15.07</v>
      </c>
      <c r="J231" s="7">
        <v>201464</v>
      </c>
    </row>
    <row r="232" spans="2:10" hidden="1" x14ac:dyDescent="0.3">
      <c r="C232" s="1">
        <v>42919</v>
      </c>
      <c r="D232" s="21">
        <v>250</v>
      </c>
      <c r="E232" s="117"/>
      <c r="F232" t="s">
        <v>39</v>
      </c>
      <c r="G232" s="11">
        <v>180</v>
      </c>
      <c r="H232" s="11">
        <v>0</v>
      </c>
      <c r="I232" s="11">
        <f t="shared" si="10"/>
        <v>180</v>
      </c>
      <c r="J232" s="7">
        <v>201465</v>
      </c>
    </row>
    <row r="233" spans="2:10" hidden="1" x14ac:dyDescent="0.3">
      <c r="C233" s="1">
        <v>42919</v>
      </c>
      <c r="D233" s="21">
        <v>251</v>
      </c>
      <c r="E233" s="117"/>
      <c r="F233" t="s">
        <v>177</v>
      </c>
      <c r="G233" s="11">
        <v>800</v>
      </c>
      <c r="H233" s="11">
        <v>160</v>
      </c>
      <c r="I233" s="11">
        <f t="shared" si="10"/>
        <v>960</v>
      </c>
      <c r="J233" s="7">
        <v>201466</v>
      </c>
    </row>
    <row r="234" spans="2:10" hidden="1" x14ac:dyDescent="0.3">
      <c r="D234" s="21"/>
      <c r="E234" s="117"/>
      <c r="G234" s="12">
        <f>SUM(G225:G233)</f>
        <v>1890.9</v>
      </c>
      <c r="H234" s="12">
        <f>SUM(H225:H233)</f>
        <v>174</v>
      </c>
      <c r="I234" s="12">
        <f t="shared" si="10"/>
        <v>2064.9</v>
      </c>
    </row>
    <row r="235" spans="2:10" hidden="1" x14ac:dyDescent="0.3">
      <c r="B235" t="s">
        <v>176</v>
      </c>
      <c r="C235" s="1">
        <v>42948</v>
      </c>
      <c r="D235" s="21">
        <v>252</v>
      </c>
      <c r="E235" s="117"/>
      <c r="F235" t="s">
        <v>178</v>
      </c>
      <c r="G235" s="11">
        <v>279</v>
      </c>
      <c r="H235" s="11">
        <v>55.8</v>
      </c>
      <c r="I235" s="11">
        <v>334.8</v>
      </c>
      <c r="J235" s="7">
        <v>201467</v>
      </c>
    </row>
    <row r="236" spans="2:10" hidden="1" x14ac:dyDescent="0.3">
      <c r="C236" s="1">
        <v>42948</v>
      </c>
      <c r="D236" s="21">
        <v>253</v>
      </c>
      <c r="E236" s="117"/>
      <c r="F236" t="s">
        <v>97</v>
      </c>
      <c r="G236" s="11">
        <v>72.7</v>
      </c>
      <c r="H236" s="11">
        <v>14.54</v>
      </c>
      <c r="I236" s="11">
        <f t="shared" ref="I236:I241" si="11">SUM(G236:H236)</f>
        <v>87.240000000000009</v>
      </c>
      <c r="J236" s="7">
        <v>201468</v>
      </c>
    </row>
    <row r="237" spans="2:10" hidden="1" x14ac:dyDescent="0.3">
      <c r="C237" s="1">
        <v>42948</v>
      </c>
      <c r="D237" s="21">
        <v>254</v>
      </c>
      <c r="E237" s="117"/>
      <c r="F237" t="s">
        <v>39</v>
      </c>
      <c r="G237" s="11">
        <v>180</v>
      </c>
      <c r="H237" s="11">
        <v>0</v>
      </c>
      <c r="I237" s="11">
        <f t="shared" si="11"/>
        <v>180</v>
      </c>
      <c r="J237" s="7">
        <v>201469</v>
      </c>
    </row>
    <row r="238" spans="2:10" hidden="1" x14ac:dyDescent="0.3">
      <c r="C238" s="1">
        <v>42948</v>
      </c>
      <c r="D238" s="21">
        <v>255</v>
      </c>
      <c r="E238" s="117"/>
      <c r="F238" t="s">
        <v>159</v>
      </c>
      <c r="G238" s="11">
        <v>608.04999999999995</v>
      </c>
      <c r="H238" s="11">
        <v>0</v>
      </c>
      <c r="I238" s="11">
        <f t="shared" si="11"/>
        <v>608.04999999999995</v>
      </c>
      <c r="J238" s="7">
        <v>201470</v>
      </c>
    </row>
    <row r="239" spans="2:10" hidden="1" x14ac:dyDescent="0.3">
      <c r="C239" s="1">
        <v>42948</v>
      </c>
      <c r="D239" s="21">
        <v>255</v>
      </c>
      <c r="E239" s="117"/>
      <c r="F239" t="s">
        <v>160</v>
      </c>
      <c r="G239" s="11">
        <v>15.07</v>
      </c>
      <c r="H239" s="11">
        <v>0</v>
      </c>
      <c r="I239" s="11">
        <f t="shared" si="11"/>
        <v>15.07</v>
      </c>
      <c r="J239" s="7">
        <v>201470</v>
      </c>
    </row>
    <row r="240" spans="2:10" hidden="1" x14ac:dyDescent="0.3">
      <c r="C240" s="1">
        <v>42948</v>
      </c>
      <c r="D240" s="21">
        <v>256</v>
      </c>
      <c r="E240" s="117"/>
      <c r="F240" t="s">
        <v>82</v>
      </c>
      <c r="G240" s="11">
        <v>238.64</v>
      </c>
      <c r="H240" s="11">
        <v>11.93</v>
      </c>
      <c r="I240" s="11">
        <f t="shared" si="11"/>
        <v>250.57</v>
      </c>
      <c r="J240" s="7">
        <v>201471</v>
      </c>
    </row>
    <row r="241" spans="2:13" hidden="1" x14ac:dyDescent="0.3">
      <c r="C241" s="1">
        <v>42962</v>
      </c>
      <c r="D241" s="21">
        <v>257</v>
      </c>
      <c r="E241" s="117"/>
      <c r="F241" t="s">
        <v>181</v>
      </c>
      <c r="G241" s="11">
        <v>1</v>
      </c>
      <c r="H241" s="11">
        <v>0</v>
      </c>
      <c r="I241" s="11">
        <f t="shared" si="11"/>
        <v>1</v>
      </c>
      <c r="J241" s="7">
        <v>201472</v>
      </c>
    </row>
    <row r="242" spans="2:13" hidden="1" x14ac:dyDescent="0.3">
      <c r="D242" s="21"/>
      <c r="E242" s="117"/>
      <c r="G242" s="12">
        <f>SUM(G235:G241)</f>
        <v>1394.46</v>
      </c>
      <c r="H242" s="12">
        <f>SUM(H235:H241)</f>
        <v>82.27000000000001</v>
      </c>
      <c r="I242" s="12">
        <f>SUM(I235:I241)</f>
        <v>1476.7299999999998</v>
      </c>
    </row>
    <row r="243" spans="2:13" hidden="1" x14ac:dyDescent="0.3">
      <c r="B243" s="6">
        <v>42979</v>
      </c>
      <c r="C243" s="1">
        <v>42982</v>
      </c>
      <c r="D243" s="21">
        <v>258</v>
      </c>
      <c r="E243" s="117"/>
      <c r="F243" t="s">
        <v>31</v>
      </c>
      <c r="G243" s="11">
        <v>175</v>
      </c>
      <c r="H243" s="11">
        <v>0</v>
      </c>
      <c r="I243" s="11">
        <v>175</v>
      </c>
      <c r="J243" s="7">
        <v>201473</v>
      </c>
    </row>
    <row r="244" spans="2:13" hidden="1" x14ac:dyDescent="0.3">
      <c r="C244" s="1">
        <v>42982</v>
      </c>
      <c r="D244" s="21">
        <v>259</v>
      </c>
      <c r="E244" s="117"/>
      <c r="F244" t="s">
        <v>159</v>
      </c>
      <c r="G244" s="11">
        <v>608.04999999999995</v>
      </c>
      <c r="H244" s="11">
        <v>0</v>
      </c>
      <c r="I244" s="11">
        <f>SUM(G244:H244)</f>
        <v>608.04999999999995</v>
      </c>
      <c r="J244" s="7">
        <v>201474</v>
      </c>
    </row>
    <row r="245" spans="2:13" hidden="1" x14ac:dyDescent="0.3">
      <c r="C245" s="1">
        <v>42982</v>
      </c>
      <c r="D245" s="21">
        <v>259</v>
      </c>
      <c r="E245" s="117"/>
      <c r="F245" t="s">
        <v>160</v>
      </c>
      <c r="G245" s="11">
        <v>15.07</v>
      </c>
      <c r="H245" s="11">
        <v>0</v>
      </c>
      <c r="I245" s="11">
        <f>SUM(G245:H245)</f>
        <v>15.07</v>
      </c>
      <c r="J245" s="7">
        <v>201474</v>
      </c>
    </row>
    <row r="246" spans="2:13" hidden="1" x14ac:dyDescent="0.3">
      <c r="C246" s="1">
        <v>42982</v>
      </c>
      <c r="D246" s="21">
        <v>260</v>
      </c>
      <c r="E246" s="117"/>
      <c r="F246" t="s">
        <v>39</v>
      </c>
      <c r="G246" s="11">
        <v>180</v>
      </c>
      <c r="H246" s="11">
        <v>0</v>
      </c>
      <c r="I246" s="11">
        <v>180</v>
      </c>
      <c r="J246" s="7">
        <v>201475</v>
      </c>
    </row>
    <row r="247" spans="2:13" hidden="1" x14ac:dyDescent="0.3">
      <c r="C247" s="1">
        <v>42982</v>
      </c>
      <c r="D247" s="21">
        <v>261</v>
      </c>
      <c r="E247" s="117"/>
      <c r="F247" t="s">
        <v>182</v>
      </c>
      <c r="G247" s="11">
        <v>185</v>
      </c>
      <c r="H247" s="11">
        <v>37</v>
      </c>
      <c r="I247" s="11">
        <v>222</v>
      </c>
      <c r="J247" s="7">
        <v>201476</v>
      </c>
    </row>
    <row r="248" spans="2:13" hidden="1" x14ac:dyDescent="0.3">
      <c r="C248" s="1">
        <v>42982</v>
      </c>
      <c r="D248" s="21">
        <v>262</v>
      </c>
      <c r="E248" s="117"/>
      <c r="F248" t="s">
        <v>183</v>
      </c>
      <c r="G248" s="11">
        <v>185</v>
      </c>
      <c r="H248" s="11">
        <v>37</v>
      </c>
      <c r="I248" s="11">
        <v>222</v>
      </c>
      <c r="J248" s="7">
        <v>201477</v>
      </c>
    </row>
    <row r="249" spans="2:13" hidden="1" x14ac:dyDescent="0.3">
      <c r="C249" s="1">
        <v>42982</v>
      </c>
      <c r="D249" s="21">
        <v>263</v>
      </c>
      <c r="E249" s="117"/>
      <c r="F249" t="s">
        <v>173</v>
      </c>
      <c r="G249" s="11">
        <v>33.979999999999997</v>
      </c>
      <c r="H249" s="11">
        <v>0</v>
      </c>
      <c r="I249" s="11">
        <v>33.979999999999997</v>
      </c>
      <c r="J249" s="7">
        <v>201478</v>
      </c>
    </row>
    <row r="250" spans="2:13" hidden="1" x14ac:dyDescent="0.3">
      <c r="C250" s="1">
        <v>42982</v>
      </c>
      <c r="D250" s="21">
        <v>264</v>
      </c>
      <c r="E250" s="117"/>
      <c r="F250" t="s">
        <v>128</v>
      </c>
      <c r="G250" s="11">
        <v>13.44</v>
      </c>
      <c r="H250" s="11">
        <v>0</v>
      </c>
      <c r="I250" s="11">
        <v>13.44</v>
      </c>
      <c r="J250" s="7">
        <v>201479</v>
      </c>
    </row>
    <row r="251" spans="2:13" hidden="1" x14ac:dyDescent="0.3">
      <c r="B251" s="6"/>
      <c r="D251" s="21"/>
      <c r="E251" s="117"/>
      <c r="G251" s="12">
        <f>SUM(G243:G250)</f>
        <v>1395.54</v>
      </c>
      <c r="H251" s="12">
        <f>SUM(H243:H250)</f>
        <v>74</v>
      </c>
      <c r="I251" s="12">
        <f>SUM(I243:I250)</f>
        <v>1469.54</v>
      </c>
    </row>
    <row r="252" spans="2:13" hidden="1" x14ac:dyDescent="0.3">
      <c r="B252" s="6">
        <v>43009</v>
      </c>
      <c r="C252" s="1">
        <v>43011</v>
      </c>
      <c r="D252" s="21">
        <v>265</v>
      </c>
      <c r="E252" s="117"/>
      <c r="F252" t="s">
        <v>184</v>
      </c>
      <c r="G252" s="11">
        <v>249.3</v>
      </c>
      <c r="H252" s="11">
        <v>0</v>
      </c>
      <c r="I252" s="11">
        <v>249.3</v>
      </c>
      <c r="J252" s="7">
        <v>201480</v>
      </c>
      <c r="L252" s="1">
        <v>43044</v>
      </c>
      <c r="M252" s="1"/>
    </row>
    <row r="253" spans="2:13" hidden="1" x14ac:dyDescent="0.3">
      <c r="C253" s="1">
        <v>43011</v>
      </c>
      <c r="D253" s="21">
        <v>266</v>
      </c>
      <c r="E253" s="117"/>
      <c r="F253" t="s">
        <v>97</v>
      </c>
      <c r="G253" s="11">
        <v>70</v>
      </c>
      <c r="H253" s="11">
        <v>14</v>
      </c>
      <c r="I253" s="11">
        <v>84</v>
      </c>
      <c r="J253" s="7">
        <v>201481</v>
      </c>
      <c r="L253" s="1">
        <v>43044</v>
      </c>
      <c r="M253" s="1"/>
    </row>
    <row r="254" spans="2:13" hidden="1" x14ac:dyDescent="0.3">
      <c r="C254" s="1">
        <v>43011</v>
      </c>
      <c r="D254" s="21">
        <v>267</v>
      </c>
      <c r="E254" s="117"/>
      <c r="F254" t="s">
        <v>185</v>
      </c>
      <c r="G254" s="11">
        <v>117.6</v>
      </c>
      <c r="H254" s="11">
        <v>0</v>
      </c>
      <c r="I254" s="11">
        <v>117.6</v>
      </c>
      <c r="J254" s="7">
        <v>201482</v>
      </c>
      <c r="L254" s="1">
        <v>43044</v>
      </c>
      <c r="M254" s="1"/>
    </row>
    <row r="255" spans="2:13" hidden="1" x14ac:dyDescent="0.3">
      <c r="C255" s="1">
        <v>43011</v>
      </c>
      <c r="D255" s="21">
        <v>268</v>
      </c>
      <c r="E255" s="117"/>
      <c r="F255" t="s">
        <v>39</v>
      </c>
      <c r="G255" s="11">
        <v>180</v>
      </c>
      <c r="H255" s="11">
        <v>0</v>
      </c>
      <c r="I255" s="11">
        <v>180</v>
      </c>
      <c r="J255" s="7">
        <v>201483</v>
      </c>
      <c r="L255" s="1">
        <v>43044</v>
      </c>
      <c r="M255" s="1"/>
    </row>
    <row r="256" spans="2:13" hidden="1" x14ac:dyDescent="0.3">
      <c r="C256" s="1">
        <v>43011</v>
      </c>
      <c r="D256" s="21">
        <v>269</v>
      </c>
      <c r="E256" s="117"/>
      <c r="F256" t="s">
        <v>159</v>
      </c>
      <c r="G256" s="11">
        <v>608.04999999999995</v>
      </c>
      <c r="H256" s="11">
        <v>0</v>
      </c>
      <c r="I256" s="11">
        <f>SUM(G256:H256)</f>
        <v>608.04999999999995</v>
      </c>
      <c r="J256" s="7">
        <v>201484</v>
      </c>
      <c r="L256" s="1">
        <v>43044</v>
      </c>
      <c r="M256" s="1"/>
    </row>
    <row r="257" spans="2:13" hidden="1" x14ac:dyDescent="0.3">
      <c r="C257" s="1">
        <v>43011</v>
      </c>
      <c r="D257" s="21">
        <v>269</v>
      </c>
      <c r="E257" s="117"/>
      <c r="F257" t="s">
        <v>160</v>
      </c>
      <c r="G257" s="11">
        <v>15.07</v>
      </c>
      <c r="H257" s="11">
        <v>0</v>
      </c>
      <c r="I257" s="11">
        <f>SUM(G257:H257)</f>
        <v>15.07</v>
      </c>
      <c r="J257" s="7">
        <v>201484</v>
      </c>
      <c r="L257" s="1">
        <v>43044</v>
      </c>
      <c r="M257" s="1"/>
    </row>
    <row r="258" spans="2:13" hidden="1" x14ac:dyDescent="0.3">
      <c r="C258" s="1">
        <v>43011</v>
      </c>
      <c r="D258" s="21">
        <v>269</v>
      </c>
      <c r="E258" s="117"/>
      <c r="F258" t="s">
        <v>186</v>
      </c>
      <c r="G258" s="11">
        <v>37.799999999999997</v>
      </c>
      <c r="H258" s="11">
        <v>0</v>
      </c>
      <c r="I258" s="11">
        <f>SUM(G258:H258)</f>
        <v>37.799999999999997</v>
      </c>
      <c r="J258" s="7">
        <v>201484</v>
      </c>
      <c r="L258" s="1">
        <v>43044</v>
      </c>
      <c r="M258" s="1"/>
    </row>
    <row r="259" spans="2:13" hidden="1" x14ac:dyDescent="0.3">
      <c r="C259" s="1">
        <v>43011</v>
      </c>
      <c r="D259" s="21">
        <v>270</v>
      </c>
      <c r="E259" s="117"/>
      <c r="F259" t="s">
        <v>187</v>
      </c>
      <c r="G259" s="11">
        <v>40</v>
      </c>
      <c r="H259" s="11">
        <v>0</v>
      </c>
      <c r="I259" s="11">
        <v>40</v>
      </c>
      <c r="J259" s="7">
        <v>201485</v>
      </c>
      <c r="L259" s="1">
        <v>43044</v>
      </c>
      <c r="M259" s="1"/>
    </row>
    <row r="260" spans="2:13" hidden="1" x14ac:dyDescent="0.3">
      <c r="D260" s="21"/>
      <c r="E260" s="117"/>
      <c r="G260" s="12">
        <f>SUM(G252:G259)</f>
        <v>1317.8199999999997</v>
      </c>
      <c r="H260" s="12">
        <f>SUM(H252:H259)</f>
        <v>14</v>
      </c>
      <c r="I260" s="12">
        <f>SUM(I252:I259)</f>
        <v>1331.8199999999997</v>
      </c>
    </row>
    <row r="261" spans="2:13" hidden="1" x14ac:dyDescent="0.3">
      <c r="B261" s="6">
        <v>43040</v>
      </c>
      <c r="C261" s="1">
        <v>43041</v>
      </c>
      <c r="D261" s="21">
        <v>271</v>
      </c>
      <c r="E261" s="117"/>
      <c r="F261" t="s">
        <v>188</v>
      </c>
      <c r="G261" s="11">
        <v>437.5</v>
      </c>
      <c r="H261" s="11">
        <v>0</v>
      </c>
      <c r="I261" s="11">
        <f t="shared" ref="I261:I280" si="12">SUM(G261:H261)</f>
        <v>437.5</v>
      </c>
      <c r="J261" s="7">
        <v>201486</v>
      </c>
      <c r="L261" s="1"/>
      <c r="M261" s="1"/>
    </row>
    <row r="262" spans="2:13" hidden="1" x14ac:dyDescent="0.3">
      <c r="C262" s="1">
        <v>43041</v>
      </c>
      <c r="D262" s="21">
        <v>272</v>
      </c>
      <c r="E262" s="117"/>
      <c r="F262" t="s">
        <v>154</v>
      </c>
      <c r="G262" s="11">
        <v>185</v>
      </c>
      <c r="H262" s="11">
        <v>37</v>
      </c>
      <c r="I262" s="11">
        <f t="shared" si="12"/>
        <v>222</v>
      </c>
      <c r="J262" s="7">
        <v>201487</v>
      </c>
    </row>
    <row r="263" spans="2:13" hidden="1" x14ac:dyDescent="0.3">
      <c r="C263" s="1">
        <v>43041</v>
      </c>
      <c r="D263" s="21">
        <v>273</v>
      </c>
      <c r="E263" s="117"/>
      <c r="F263" t="s">
        <v>39</v>
      </c>
      <c r="G263" s="11">
        <v>180</v>
      </c>
      <c r="H263" s="11">
        <v>0</v>
      </c>
      <c r="I263" s="11">
        <f t="shared" si="12"/>
        <v>180</v>
      </c>
      <c r="J263" s="7">
        <v>201488</v>
      </c>
    </row>
    <row r="264" spans="2:13" hidden="1" x14ac:dyDescent="0.3">
      <c r="C264" s="1">
        <v>43041</v>
      </c>
      <c r="D264" s="21">
        <v>274</v>
      </c>
      <c r="E264" s="117"/>
      <c r="F264" t="s">
        <v>97</v>
      </c>
      <c r="G264" s="11">
        <v>72.7</v>
      </c>
      <c r="H264" s="11">
        <v>14.54</v>
      </c>
      <c r="I264" s="11">
        <f t="shared" si="12"/>
        <v>87.240000000000009</v>
      </c>
      <c r="J264" s="7">
        <v>201489</v>
      </c>
    </row>
    <row r="265" spans="2:13" hidden="1" x14ac:dyDescent="0.3">
      <c r="C265" s="1">
        <v>43041</v>
      </c>
      <c r="D265" s="21">
        <v>275</v>
      </c>
      <c r="E265" s="117"/>
      <c r="F265" t="s">
        <v>124</v>
      </c>
      <c r="G265" s="11">
        <v>50</v>
      </c>
      <c r="H265" s="11">
        <v>0</v>
      </c>
      <c r="I265" s="11">
        <f t="shared" si="12"/>
        <v>50</v>
      </c>
      <c r="J265" s="7">
        <v>201490</v>
      </c>
    </row>
    <row r="266" spans="2:13" hidden="1" x14ac:dyDescent="0.3">
      <c r="C266" s="1">
        <v>43041</v>
      </c>
      <c r="D266" s="21">
        <v>276</v>
      </c>
      <c r="E266" s="117"/>
      <c r="F266" t="s">
        <v>159</v>
      </c>
      <c r="G266" s="11">
        <v>608.04999999999995</v>
      </c>
      <c r="H266" s="11">
        <v>0</v>
      </c>
      <c r="I266" s="11">
        <f t="shared" si="12"/>
        <v>608.04999999999995</v>
      </c>
      <c r="J266" s="7">
        <v>201491</v>
      </c>
    </row>
    <row r="267" spans="2:13" hidden="1" x14ac:dyDescent="0.3">
      <c r="C267" s="1">
        <v>43041</v>
      </c>
      <c r="D267" s="21">
        <v>276</v>
      </c>
      <c r="E267" s="117"/>
      <c r="F267" t="s">
        <v>160</v>
      </c>
      <c r="G267" s="11">
        <v>15.07</v>
      </c>
      <c r="H267" s="11">
        <v>0</v>
      </c>
      <c r="I267" s="11">
        <f t="shared" si="12"/>
        <v>15.07</v>
      </c>
      <c r="J267" s="7">
        <v>201491</v>
      </c>
    </row>
    <row r="268" spans="2:13" hidden="1" x14ac:dyDescent="0.3">
      <c r="C268" s="1">
        <v>43041</v>
      </c>
      <c r="D268" s="21">
        <v>277</v>
      </c>
      <c r="E268" s="117"/>
      <c r="F268" t="s">
        <v>39</v>
      </c>
      <c r="G268" s="11">
        <v>649.5</v>
      </c>
      <c r="H268" s="11">
        <v>0</v>
      </c>
      <c r="I268" s="11">
        <f t="shared" si="12"/>
        <v>649.5</v>
      </c>
      <c r="J268" s="7">
        <v>201492</v>
      </c>
    </row>
    <row r="269" spans="2:13" hidden="1" x14ac:dyDescent="0.3">
      <c r="C269" s="1">
        <v>43041</v>
      </c>
      <c r="D269" s="21">
        <v>278</v>
      </c>
      <c r="E269" s="117"/>
      <c r="F269" t="s">
        <v>130</v>
      </c>
      <c r="G269" s="11">
        <v>35</v>
      </c>
      <c r="H269" s="11">
        <v>0</v>
      </c>
      <c r="I269" s="11">
        <f t="shared" si="12"/>
        <v>35</v>
      </c>
      <c r="J269" s="7" t="s">
        <v>26</v>
      </c>
    </row>
    <row r="270" spans="2:13" hidden="1" x14ac:dyDescent="0.3">
      <c r="C270" s="1">
        <v>43041</v>
      </c>
      <c r="D270" s="21">
        <v>279</v>
      </c>
      <c r="E270" s="117"/>
      <c r="F270" t="s">
        <v>82</v>
      </c>
      <c r="G270" s="11">
        <v>148.61000000000001</v>
      </c>
      <c r="H270" s="11">
        <v>7.43</v>
      </c>
      <c r="I270" s="11">
        <f t="shared" si="12"/>
        <v>156.04000000000002</v>
      </c>
      <c r="J270" s="7">
        <v>201493</v>
      </c>
    </row>
    <row r="271" spans="2:13" hidden="1" x14ac:dyDescent="0.3">
      <c r="C271" s="1">
        <v>43046</v>
      </c>
      <c r="D271" s="21">
        <v>280</v>
      </c>
      <c r="E271" s="117"/>
      <c r="F271" t="s">
        <v>189</v>
      </c>
      <c r="G271" s="11">
        <v>30</v>
      </c>
      <c r="H271" s="11">
        <v>6</v>
      </c>
      <c r="I271" s="11">
        <f t="shared" si="12"/>
        <v>36</v>
      </c>
      <c r="J271" s="7">
        <v>201494</v>
      </c>
    </row>
    <row r="272" spans="2:13" hidden="1" x14ac:dyDescent="0.3">
      <c r="C272" s="1">
        <v>43046</v>
      </c>
      <c r="D272" s="21">
        <v>281</v>
      </c>
      <c r="E272" s="117"/>
      <c r="F272" t="s">
        <v>190</v>
      </c>
      <c r="G272" s="11">
        <v>20.48</v>
      </c>
      <c r="H272" s="11">
        <v>2.09</v>
      </c>
      <c r="I272" s="11">
        <f t="shared" si="12"/>
        <v>22.57</v>
      </c>
      <c r="J272" s="7">
        <v>201495</v>
      </c>
    </row>
    <row r="273" spans="2:12" hidden="1" x14ac:dyDescent="0.3">
      <c r="C273" s="1">
        <v>43046</v>
      </c>
      <c r="D273" s="21">
        <v>282</v>
      </c>
      <c r="E273" s="117"/>
      <c r="F273" t="s">
        <v>115</v>
      </c>
      <c r="G273" s="11">
        <v>185</v>
      </c>
      <c r="H273" s="11">
        <v>37</v>
      </c>
      <c r="I273" s="11">
        <f t="shared" si="12"/>
        <v>222</v>
      </c>
      <c r="J273" s="7">
        <v>201496</v>
      </c>
    </row>
    <row r="274" spans="2:12" hidden="1" x14ac:dyDescent="0.3">
      <c r="C274" s="1">
        <v>43046</v>
      </c>
      <c r="D274" s="21">
        <v>283</v>
      </c>
      <c r="E274" s="117"/>
      <c r="F274" t="s">
        <v>191</v>
      </c>
      <c r="G274" s="11">
        <v>510</v>
      </c>
      <c r="H274" s="11">
        <v>102</v>
      </c>
      <c r="I274" s="11">
        <f t="shared" si="12"/>
        <v>612</v>
      </c>
      <c r="J274" s="7">
        <v>201497</v>
      </c>
    </row>
    <row r="275" spans="2:12" hidden="1" x14ac:dyDescent="0.3">
      <c r="C275" s="1">
        <v>43046</v>
      </c>
      <c r="D275" s="21">
        <v>284</v>
      </c>
      <c r="E275" s="117"/>
      <c r="F275" t="s">
        <v>31</v>
      </c>
      <c r="G275" s="11">
        <v>90</v>
      </c>
      <c r="H275" s="11">
        <v>0</v>
      </c>
      <c r="I275" s="11">
        <f t="shared" si="12"/>
        <v>90</v>
      </c>
      <c r="J275" s="7">
        <v>201498</v>
      </c>
    </row>
    <row r="276" spans="2:12" hidden="1" x14ac:dyDescent="0.3">
      <c r="C276" s="1">
        <v>43046</v>
      </c>
      <c r="D276" s="21">
        <v>285</v>
      </c>
      <c r="E276" s="117"/>
      <c r="F276" t="s">
        <v>192</v>
      </c>
      <c r="G276" s="11">
        <v>205.25</v>
      </c>
      <c r="H276" s="11">
        <v>41.05</v>
      </c>
      <c r="I276" s="11">
        <f t="shared" si="12"/>
        <v>246.3</v>
      </c>
      <c r="J276" s="7">
        <v>201499</v>
      </c>
    </row>
    <row r="277" spans="2:12" hidden="1" x14ac:dyDescent="0.3">
      <c r="C277" s="1">
        <v>43046</v>
      </c>
      <c r="D277" s="21">
        <v>286</v>
      </c>
      <c r="E277" s="117"/>
      <c r="F277" t="s">
        <v>193</v>
      </c>
      <c r="G277" s="11">
        <v>101.48</v>
      </c>
      <c r="H277" s="11">
        <v>25.36</v>
      </c>
      <c r="I277" s="11">
        <f t="shared" si="12"/>
        <v>126.84</v>
      </c>
      <c r="J277" s="7">
        <v>201500</v>
      </c>
    </row>
    <row r="278" spans="2:12" hidden="1" x14ac:dyDescent="0.3">
      <c r="C278" s="1">
        <v>43052</v>
      </c>
      <c r="D278" s="21">
        <v>287</v>
      </c>
      <c r="E278" s="117"/>
      <c r="F278" t="s">
        <v>137</v>
      </c>
      <c r="G278" s="11">
        <v>42.1</v>
      </c>
      <c r="H278" s="11">
        <v>0</v>
      </c>
      <c r="I278" s="11">
        <f t="shared" si="12"/>
        <v>42.1</v>
      </c>
      <c r="J278" s="7">
        <v>201601</v>
      </c>
    </row>
    <row r="279" spans="2:12" hidden="1" x14ac:dyDescent="0.3">
      <c r="C279" s="1">
        <v>43052</v>
      </c>
      <c r="D279" s="21">
        <v>288</v>
      </c>
      <c r="E279" s="117"/>
      <c r="F279" t="s">
        <v>194</v>
      </c>
      <c r="G279" s="11">
        <v>50</v>
      </c>
      <c r="H279" s="11">
        <v>0</v>
      </c>
      <c r="I279" s="11">
        <f t="shared" si="12"/>
        <v>50</v>
      </c>
      <c r="J279" s="7">
        <v>201602</v>
      </c>
    </row>
    <row r="280" spans="2:12" hidden="1" x14ac:dyDescent="0.3">
      <c r="C280" s="1">
        <v>43052</v>
      </c>
      <c r="D280" s="21">
        <v>289</v>
      </c>
      <c r="E280" s="117"/>
      <c r="F280" t="s">
        <v>195</v>
      </c>
      <c r="G280" s="11">
        <v>200.4</v>
      </c>
      <c r="H280" s="11">
        <v>40.08</v>
      </c>
      <c r="I280" s="11">
        <f t="shared" si="12"/>
        <v>240.48000000000002</v>
      </c>
      <c r="J280" s="7">
        <v>201603</v>
      </c>
    </row>
    <row r="281" spans="2:12" hidden="1" x14ac:dyDescent="0.3">
      <c r="C281" s="1">
        <v>43061</v>
      </c>
      <c r="D281" s="21">
        <v>290</v>
      </c>
      <c r="E281" s="117"/>
      <c r="F281" t="s">
        <v>196</v>
      </c>
      <c r="G281" s="11">
        <v>850.05</v>
      </c>
      <c r="H281" s="11">
        <v>0</v>
      </c>
      <c r="I281" s="11">
        <v>850.05</v>
      </c>
      <c r="J281" s="18">
        <v>201604</v>
      </c>
      <c r="K281" s="9"/>
    </row>
    <row r="282" spans="2:12" hidden="1" x14ac:dyDescent="0.3">
      <c r="C282" s="1">
        <v>43061</v>
      </c>
      <c r="D282" s="21">
        <v>290</v>
      </c>
      <c r="E282" s="117"/>
      <c r="F282" t="s">
        <v>196</v>
      </c>
      <c r="G282" s="11">
        <v>200.61</v>
      </c>
      <c r="H282" s="11">
        <v>0</v>
      </c>
      <c r="I282" s="11">
        <v>200.61</v>
      </c>
      <c r="J282" s="18">
        <v>201604</v>
      </c>
      <c r="K282" s="9"/>
      <c r="L282" t="s">
        <v>198</v>
      </c>
    </row>
    <row r="283" spans="2:12" hidden="1" x14ac:dyDescent="0.3">
      <c r="D283" s="21"/>
      <c r="E283" s="117"/>
      <c r="G283" s="12">
        <f>SUM(G261:G282)</f>
        <v>4866.7999999999993</v>
      </c>
      <c r="H283" s="12">
        <f>SUM(H261:H282)</f>
        <v>312.55</v>
      </c>
      <c r="I283" s="12">
        <f>SUM(I261:I282)</f>
        <v>5179.3500000000004</v>
      </c>
    </row>
    <row r="284" spans="2:12" hidden="1" x14ac:dyDescent="0.3">
      <c r="B284" s="6">
        <v>43070</v>
      </c>
      <c r="C284" s="1">
        <v>43073</v>
      </c>
      <c r="D284" s="21">
        <v>291</v>
      </c>
      <c r="E284" s="117"/>
      <c r="F284" t="s">
        <v>159</v>
      </c>
      <c r="G284" s="11">
        <v>373.96</v>
      </c>
      <c r="H284" s="11">
        <v>0</v>
      </c>
      <c r="I284" s="11">
        <f t="shared" ref="I284:I292" si="13">SUM(G284:H284)</f>
        <v>373.96</v>
      </c>
      <c r="J284" s="7">
        <v>201605</v>
      </c>
    </row>
    <row r="285" spans="2:12" hidden="1" x14ac:dyDescent="0.3">
      <c r="C285" s="1">
        <v>43073</v>
      </c>
      <c r="D285" s="21">
        <v>291</v>
      </c>
      <c r="E285" s="117"/>
      <c r="F285" t="s">
        <v>160</v>
      </c>
      <c r="G285" s="11">
        <v>15.07</v>
      </c>
      <c r="H285" s="11">
        <v>0</v>
      </c>
      <c r="I285" s="11">
        <f t="shared" si="13"/>
        <v>15.07</v>
      </c>
      <c r="J285" s="7">
        <v>201605</v>
      </c>
    </row>
    <row r="286" spans="2:12" hidden="1" x14ac:dyDescent="0.3">
      <c r="C286" s="1">
        <v>43073</v>
      </c>
      <c r="D286" s="21">
        <v>292</v>
      </c>
      <c r="E286" s="117"/>
      <c r="F286" t="s">
        <v>128</v>
      </c>
      <c r="G286" s="11">
        <v>13.44</v>
      </c>
      <c r="H286" s="11">
        <v>0</v>
      </c>
      <c r="I286" s="11">
        <f t="shared" si="13"/>
        <v>13.44</v>
      </c>
      <c r="J286" s="7">
        <v>201606</v>
      </c>
    </row>
    <row r="287" spans="2:12" hidden="1" x14ac:dyDescent="0.3">
      <c r="C287" s="1">
        <v>43073</v>
      </c>
      <c r="D287" s="21">
        <v>293</v>
      </c>
      <c r="E287" s="117"/>
      <c r="F287" t="s">
        <v>39</v>
      </c>
      <c r="G287" s="11">
        <v>500</v>
      </c>
      <c r="H287" s="11">
        <v>0</v>
      </c>
      <c r="I287" s="11">
        <f t="shared" si="13"/>
        <v>500</v>
      </c>
      <c r="J287" s="7">
        <v>201607</v>
      </c>
    </row>
    <row r="288" spans="2:12" hidden="1" x14ac:dyDescent="0.3">
      <c r="C288" s="1">
        <v>43073</v>
      </c>
      <c r="D288" s="21">
        <v>294</v>
      </c>
      <c r="E288" s="117"/>
      <c r="F288" t="s">
        <v>197</v>
      </c>
      <c r="G288" s="11">
        <v>175.11</v>
      </c>
      <c r="H288" s="11">
        <v>0</v>
      </c>
      <c r="I288" s="11">
        <f t="shared" si="13"/>
        <v>175.11</v>
      </c>
      <c r="J288" s="7">
        <v>201608</v>
      </c>
    </row>
    <row r="289" spans="3:10" hidden="1" x14ac:dyDescent="0.3">
      <c r="C289" s="1">
        <v>43073</v>
      </c>
      <c r="D289" s="21">
        <v>295</v>
      </c>
      <c r="E289" s="117"/>
      <c r="F289" t="s">
        <v>195</v>
      </c>
      <c r="G289" s="11">
        <v>123.57</v>
      </c>
      <c r="H289" s="11">
        <v>24.71</v>
      </c>
      <c r="I289" s="11">
        <f t="shared" si="13"/>
        <v>148.28</v>
      </c>
      <c r="J289" s="7">
        <v>201609</v>
      </c>
    </row>
    <row r="290" spans="3:10" hidden="1" x14ac:dyDescent="0.3">
      <c r="C290" s="1">
        <v>43073</v>
      </c>
      <c r="D290" s="21">
        <v>296</v>
      </c>
      <c r="E290" s="117"/>
      <c r="F290" t="s">
        <v>199</v>
      </c>
      <c r="G290" s="11">
        <v>673.09</v>
      </c>
      <c r="H290" s="11">
        <v>0</v>
      </c>
      <c r="I290" s="11">
        <f t="shared" si="13"/>
        <v>673.09</v>
      </c>
      <c r="J290" s="7">
        <v>201610</v>
      </c>
    </row>
    <row r="291" spans="3:10" hidden="1" x14ac:dyDescent="0.3">
      <c r="C291" s="1">
        <v>43073</v>
      </c>
      <c r="D291" s="21">
        <v>297</v>
      </c>
      <c r="E291" s="117"/>
      <c r="F291" t="s">
        <v>200</v>
      </c>
      <c r="G291" s="11">
        <v>63.74</v>
      </c>
      <c r="H291" s="11">
        <v>12.75</v>
      </c>
      <c r="I291" s="11">
        <f t="shared" si="13"/>
        <v>76.490000000000009</v>
      </c>
      <c r="J291" s="7">
        <v>201610</v>
      </c>
    </row>
    <row r="292" spans="3:10" hidden="1" x14ac:dyDescent="0.3">
      <c r="C292" s="1">
        <v>43100</v>
      </c>
      <c r="D292" s="21">
        <v>306</v>
      </c>
      <c r="E292" s="117"/>
      <c r="F292" t="s">
        <v>201</v>
      </c>
      <c r="G292" s="11">
        <v>8</v>
      </c>
      <c r="H292" s="11">
        <v>0</v>
      </c>
      <c r="I292" s="11">
        <f t="shared" si="13"/>
        <v>8</v>
      </c>
      <c r="J292" s="7" t="s">
        <v>26</v>
      </c>
    </row>
    <row r="293" spans="3:10" hidden="1" x14ac:dyDescent="0.3">
      <c r="C293" s="1"/>
      <c r="D293" s="21"/>
      <c r="E293" s="117"/>
      <c r="F293" t="s">
        <v>219</v>
      </c>
      <c r="G293" s="11">
        <v>1578</v>
      </c>
      <c r="I293" s="11">
        <v>1578</v>
      </c>
      <c r="J293" s="7" t="s">
        <v>203</v>
      </c>
    </row>
    <row r="294" spans="3:10" hidden="1" x14ac:dyDescent="0.3">
      <c r="D294" s="21"/>
      <c r="E294" s="117"/>
      <c r="G294" s="12">
        <f>SUM(G284:G293)</f>
        <v>3523.9799999999996</v>
      </c>
      <c r="H294" s="12">
        <f>SUM(H284:H293)</f>
        <v>37.46</v>
      </c>
      <c r="I294" s="12">
        <f>SUM(I284:I293)</f>
        <v>3561.4399999999996</v>
      </c>
    </row>
    <row r="295" spans="3:10" hidden="1" x14ac:dyDescent="0.3">
      <c r="C295" s="1">
        <v>43102</v>
      </c>
      <c r="D295" s="21">
        <v>298</v>
      </c>
      <c r="E295" s="117"/>
      <c r="F295" t="s">
        <v>31</v>
      </c>
      <c r="G295" s="11">
        <v>75</v>
      </c>
      <c r="H295" s="11">
        <v>0</v>
      </c>
      <c r="I295" s="11">
        <v>75</v>
      </c>
      <c r="J295" s="7">
        <v>201612</v>
      </c>
    </row>
    <row r="296" spans="3:10" hidden="1" x14ac:dyDescent="0.3">
      <c r="C296" s="1">
        <v>43102</v>
      </c>
      <c r="D296" s="21">
        <v>299</v>
      </c>
      <c r="E296" s="117"/>
      <c r="F296" t="s">
        <v>173</v>
      </c>
      <c r="G296" s="11">
        <v>33.979999999999997</v>
      </c>
      <c r="H296" s="11">
        <v>0</v>
      </c>
      <c r="I296" s="11">
        <v>33.979999999999997</v>
      </c>
      <c r="J296" s="7">
        <v>201613</v>
      </c>
    </row>
    <row r="297" spans="3:10" hidden="1" x14ac:dyDescent="0.3">
      <c r="C297" s="1">
        <v>43102</v>
      </c>
      <c r="D297" s="21">
        <v>300</v>
      </c>
      <c r="E297" s="117"/>
      <c r="F297" t="s">
        <v>204</v>
      </c>
      <c r="G297" s="11">
        <v>78</v>
      </c>
      <c r="H297" s="11">
        <v>15.6</v>
      </c>
      <c r="I297" s="11">
        <f t="shared" ref="I297:I305" si="14">SUM(G297:H297)</f>
        <v>93.6</v>
      </c>
      <c r="J297" s="7">
        <v>201614</v>
      </c>
    </row>
    <row r="298" spans="3:10" hidden="1" x14ac:dyDescent="0.3">
      <c r="C298" s="1">
        <v>43102</v>
      </c>
      <c r="D298" s="21">
        <v>301</v>
      </c>
      <c r="E298" s="117"/>
      <c r="F298" t="s">
        <v>205</v>
      </c>
      <c r="G298" s="11">
        <v>138.49</v>
      </c>
      <c r="H298" s="11">
        <v>0</v>
      </c>
      <c r="I298" s="11">
        <f t="shared" si="14"/>
        <v>138.49</v>
      </c>
      <c r="J298" s="7">
        <v>201615</v>
      </c>
    </row>
    <row r="299" spans="3:10" hidden="1" x14ac:dyDescent="0.3">
      <c r="C299" s="1">
        <v>43102</v>
      </c>
      <c r="D299" s="21">
        <v>302</v>
      </c>
      <c r="E299" s="117"/>
      <c r="F299" t="s">
        <v>205</v>
      </c>
      <c r="G299" s="11">
        <v>138.49</v>
      </c>
      <c r="H299" s="11">
        <v>0</v>
      </c>
      <c r="I299" s="11">
        <f t="shared" si="14"/>
        <v>138.49</v>
      </c>
      <c r="J299" s="7">
        <v>201616</v>
      </c>
    </row>
    <row r="300" spans="3:10" hidden="1" x14ac:dyDescent="0.3">
      <c r="C300" s="1">
        <v>43102</v>
      </c>
      <c r="D300" s="21">
        <v>303</v>
      </c>
      <c r="E300" s="117"/>
      <c r="F300" t="s">
        <v>98</v>
      </c>
      <c r="G300" s="11">
        <v>72.61</v>
      </c>
      <c r="H300" s="11">
        <v>0</v>
      </c>
      <c r="I300" s="11">
        <f t="shared" si="14"/>
        <v>72.61</v>
      </c>
      <c r="J300" s="7">
        <v>201617</v>
      </c>
    </row>
    <row r="301" spans="3:10" hidden="1" x14ac:dyDescent="0.3">
      <c r="C301" s="1">
        <v>43102</v>
      </c>
      <c r="D301" s="21">
        <v>304</v>
      </c>
      <c r="E301" s="117"/>
      <c r="F301" t="s">
        <v>159</v>
      </c>
      <c r="G301" s="11">
        <v>574.61</v>
      </c>
      <c r="H301" s="11">
        <v>0</v>
      </c>
      <c r="I301" s="11">
        <f t="shared" si="14"/>
        <v>574.61</v>
      </c>
      <c r="J301" s="7">
        <v>201618</v>
      </c>
    </row>
    <row r="302" spans="3:10" hidden="1" x14ac:dyDescent="0.3">
      <c r="C302" s="1">
        <v>43102</v>
      </c>
      <c r="D302" s="21">
        <v>304</v>
      </c>
      <c r="E302" s="117"/>
      <c r="F302" t="s">
        <v>160</v>
      </c>
      <c r="G302" s="11">
        <v>15.07</v>
      </c>
      <c r="H302" s="11">
        <v>0</v>
      </c>
      <c r="I302" s="11">
        <f t="shared" si="14"/>
        <v>15.07</v>
      </c>
      <c r="J302" s="7">
        <v>201618</v>
      </c>
    </row>
    <row r="303" spans="3:10" hidden="1" x14ac:dyDescent="0.3">
      <c r="C303" s="1">
        <v>43102</v>
      </c>
      <c r="D303" s="21">
        <v>305</v>
      </c>
      <c r="E303" s="117"/>
      <c r="F303" t="s">
        <v>206</v>
      </c>
      <c r="G303" s="11">
        <v>175.11</v>
      </c>
      <c r="H303" s="11">
        <v>0</v>
      </c>
      <c r="I303" s="11">
        <f t="shared" si="14"/>
        <v>175.11</v>
      </c>
      <c r="J303" s="7">
        <v>201619</v>
      </c>
    </row>
    <row r="304" spans="3:10" hidden="1" x14ac:dyDescent="0.3">
      <c r="C304" s="1">
        <v>43109</v>
      </c>
      <c r="D304" s="21">
        <v>307</v>
      </c>
      <c r="E304" s="117"/>
      <c r="F304" t="s">
        <v>137</v>
      </c>
      <c r="G304" s="11">
        <v>195.8</v>
      </c>
      <c r="H304" s="11">
        <v>0</v>
      </c>
      <c r="I304" s="11">
        <f t="shared" si="14"/>
        <v>195.8</v>
      </c>
      <c r="J304" s="7">
        <v>201620</v>
      </c>
    </row>
    <row r="305" spans="3:10" hidden="1" x14ac:dyDescent="0.3">
      <c r="C305" s="1">
        <v>43109</v>
      </c>
      <c r="D305" s="21">
        <v>308</v>
      </c>
      <c r="E305" s="117"/>
      <c r="F305" t="s">
        <v>205</v>
      </c>
      <c r="G305" s="11">
        <v>13.84</v>
      </c>
      <c r="H305" s="11">
        <v>0</v>
      </c>
      <c r="I305" s="11">
        <f t="shared" si="14"/>
        <v>13.84</v>
      </c>
      <c r="J305" s="7">
        <v>201621</v>
      </c>
    </row>
    <row r="306" spans="3:10" hidden="1" x14ac:dyDescent="0.3">
      <c r="D306" s="21"/>
      <c r="E306" s="117"/>
      <c r="F306" t="s">
        <v>219</v>
      </c>
      <c r="G306" s="11">
        <v>789</v>
      </c>
      <c r="H306" s="11">
        <v>0</v>
      </c>
      <c r="I306" s="11">
        <v>789</v>
      </c>
      <c r="J306" s="7" t="s">
        <v>207</v>
      </c>
    </row>
    <row r="307" spans="3:10" hidden="1" x14ac:dyDescent="0.3">
      <c r="C307" s="1">
        <v>43103</v>
      </c>
      <c r="D307" s="21">
        <v>317</v>
      </c>
      <c r="E307" s="117"/>
      <c r="F307" t="s">
        <v>201</v>
      </c>
      <c r="G307" s="11">
        <v>4</v>
      </c>
      <c r="H307" s="11">
        <v>0</v>
      </c>
      <c r="I307" s="11">
        <v>4</v>
      </c>
      <c r="J307" s="7" t="s">
        <v>26</v>
      </c>
    </row>
    <row r="308" spans="3:10" hidden="1" x14ac:dyDescent="0.3">
      <c r="D308" s="21"/>
      <c r="E308" s="117"/>
      <c r="G308" s="12">
        <f>SUM(G295:G307)</f>
        <v>2304</v>
      </c>
      <c r="H308" s="12">
        <f>SUM(H295:H307)</f>
        <v>15.6</v>
      </c>
      <c r="I308" s="12">
        <f>SUM(I295:I307)</f>
        <v>2319.6</v>
      </c>
    </row>
    <row r="309" spans="3:10" hidden="1" x14ac:dyDescent="0.3">
      <c r="C309" s="1">
        <v>43132</v>
      </c>
      <c r="D309" s="21">
        <v>309</v>
      </c>
      <c r="E309" s="117"/>
      <c r="F309" t="s">
        <v>208</v>
      </c>
      <c r="G309" s="11">
        <v>50</v>
      </c>
      <c r="H309" s="11">
        <v>0</v>
      </c>
      <c r="I309" s="11">
        <f t="shared" ref="I309:I327" si="15">SUM(G309:H309)</f>
        <v>50</v>
      </c>
      <c r="J309" s="7">
        <v>201623</v>
      </c>
    </row>
    <row r="310" spans="3:10" hidden="1" x14ac:dyDescent="0.3">
      <c r="C310" s="1">
        <v>43132</v>
      </c>
      <c r="D310" s="21">
        <v>310</v>
      </c>
      <c r="E310" s="117"/>
      <c r="F310" t="s">
        <v>209</v>
      </c>
      <c r="G310" s="11">
        <v>71.8</v>
      </c>
      <c r="H310" s="11">
        <v>14.36</v>
      </c>
      <c r="I310" s="11">
        <f t="shared" si="15"/>
        <v>86.16</v>
      </c>
      <c r="J310" s="7">
        <v>201624</v>
      </c>
    </row>
    <row r="311" spans="3:10" hidden="1" x14ac:dyDescent="0.3">
      <c r="C311" s="1">
        <v>43132</v>
      </c>
      <c r="D311" s="21">
        <v>311</v>
      </c>
      <c r="E311" s="117"/>
      <c r="F311" t="s">
        <v>145</v>
      </c>
      <c r="G311" s="11">
        <v>40</v>
      </c>
      <c r="H311" s="11">
        <v>0</v>
      </c>
      <c r="I311" s="11">
        <f t="shared" si="15"/>
        <v>40</v>
      </c>
      <c r="J311" s="7">
        <v>201625</v>
      </c>
    </row>
    <row r="312" spans="3:10" hidden="1" x14ac:dyDescent="0.3">
      <c r="C312" s="1">
        <v>43132</v>
      </c>
      <c r="D312" s="21">
        <v>312</v>
      </c>
      <c r="E312" s="117"/>
      <c r="F312" t="s">
        <v>210</v>
      </c>
      <c r="G312" s="11">
        <v>185</v>
      </c>
      <c r="H312" s="11">
        <v>37</v>
      </c>
      <c r="I312" s="11">
        <f t="shared" si="15"/>
        <v>222</v>
      </c>
      <c r="J312" s="7">
        <v>201626</v>
      </c>
    </row>
    <row r="313" spans="3:10" hidden="1" x14ac:dyDescent="0.3">
      <c r="C313" s="1">
        <v>43132</v>
      </c>
      <c r="D313" s="21">
        <v>313</v>
      </c>
      <c r="E313" s="117"/>
      <c r="F313" t="s">
        <v>211</v>
      </c>
      <c r="G313" s="11">
        <v>185</v>
      </c>
      <c r="H313" s="11">
        <v>37</v>
      </c>
      <c r="I313" s="11">
        <f t="shared" si="15"/>
        <v>222</v>
      </c>
      <c r="J313" s="7">
        <v>201627</v>
      </c>
    </row>
    <row r="314" spans="3:10" hidden="1" x14ac:dyDescent="0.3">
      <c r="C314" s="1">
        <v>43132</v>
      </c>
      <c r="D314" s="21">
        <v>314</v>
      </c>
      <c r="E314" s="117"/>
      <c r="F314" t="s">
        <v>209</v>
      </c>
      <c r="G314" s="11">
        <v>74.8</v>
      </c>
      <c r="H314" s="11">
        <v>14.96</v>
      </c>
      <c r="I314" s="11">
        <f t="shared" si="15"/>
        <v>89.759999999999991</v>
      </c>
      <c r="J314" s="7">
        <v>201628</v>
      </c>
    </row>
    <row r="315" spans="3:10" hidden="1" x14ac:dyDescent="0.3">
      <c r="C315" s="1">
        <v>43132</v>
      </c>
      <c r="D315" s="21">
        <v>315</v>
      </c>
      <c r="E315" s="117"/>
      <c r="F315" t="s">
        <v>212</v>
      </c>
      <c r="G315" s="11">
        <v>574.61</v>
      </c>
      <c r="H315" s="11">
        <v>0</v>
      </c>
      <c r="I315" s="11">
        <f t="shared" si="15"/>
        <v>574.61</v>
      </c>
      <c r="J315" s="7">
        <v>201629</v>
      </c>
    </row>
    <row r="316" spans="3:10" hidden="1" x14ac:dyDescent="0.3">
      <c r="C316" s="1">
        <v>43132</v>
      </c>
      <c r="D316" s="21">
        <v>315</v>
      </c>
      <c r="E316" s="117"/>
      <c r="F316" t="s">
        <v>213</v>
      </c>
      <c r="G316" s="11">
        <v>15.07</v>
      </c>
      <c r="H316" s="11">
        <v>0</v>
      </c>
      <c r="I316" s="11">
        <f t="shared" si="15"/>
        <v>15.07</v>
      </c>
      <c r="J316" s="7">
        <v>201629</v>
      </c>
    </row>
    <row r="317" spans="3:10" hidden="1" x14ac:dyDescent="0.3">
      <c r="C317" s="1">
        <v>43132</v>
      </c>
      <c r="D317" s="21">
        <v>316</v>
      </c>
      <c r="E317" s="117"/>
      <c r="F317" t="s">
        <v>206</v>
      </c>
      <c r="G317" s="11">
        <v>175.11</v>
      </c>
      <c r="H317" s="11">
        <v>0</v>
      </c>
      <c r="I317" s="11">
        <f t="shared" si="15"/>
        <v>175.11</v>
      </c>
      <c r="J317" s="7">
        <v>201630</v>
      </c>
    </row>
    <row r="318" spans="3:10" hidden="1" x14ac:dyDescent="0.3">
      <c r="C318" s="1">
        <v>43132</v>
      </c>
      <c r="D318" s="21">
        <v>318</v>
      </c>
      <c r="E318" s="117"/>
      <c r="F318" t="s">
        <v>214</v>
      </c>
      <c r="G318" s="11">
        <v>320.83</v>
      </c>
      <c r="H318" s="11">
        <v>16.04</v>
      </c>
      <c r="I318" s="11">
        <f t="shared" si="15"/>
        <v>336.87</v>
      </c>
      <c r="J318" s="7">
        <v>201631</v>
      </c>
    </row>
    <row r="319" spans="3:10" hidden="1" x14ac:dyDescent="0.3">
      <c r="D319" s="21"/>
      <c r="E319" s="117"/>
      <c r="G319" s="12">
        <f>SUM(G309:G318)</f>
        <v>1692.2199999999998</v>
      </c>
      <c r="H319" s="12">
        <f>SUM(H309:H318)</f>
        <v>119.35999999999999</v>
      </c>
      <c r="I319" s="12">
        <f t="shared" si="15"/>
        <v>1811.5799999999997</v>
      </c>
    </row>
    <row r="320" spans="3:10" hidden="1" x14ac:dyDescent="0.3">
      <c r="C320" s="1">
        <v>43160</v>
      </c>
      <c r="D320" s="21">
        <v>319</v>
      </c>
      <c r="E320" s="117"/>
      <c r="F320" t="s">
        <v>215</v>
      </c>
      <c r="G320" s="11">
        <v>185</v>
      </c>
      <c r="H320" s="11">
        <v>37</v>
      </c>
      <c r="I320" s="11">
        <f t="shared" si="15"/>
        <v>222</v>
      </c>
      <c r="J320" s="7">
        <v>201632</v>
      </c>
    </row>
    <row r="321" spans="2:16" hidden="1" x14ac:dyDescent="0.3">
      <c r="C321" s="1">
        <v>43160</v>
      </c>
      <c r="D321" s="21">
        <v>320</v>
      </c>
      <c r="E321" s="117"/>
      <c r="F321" t="s">
        <v>212</v>
      </c>
      <c r="G321" s="11">
        <v>574.61</v>
      </c>
      <c r="H321" s="11">
        <v>0</v>
      </c>
      <c r="I321" s="11">
        <f t="shared" si="15"/>
        <v>574.61</v>
      </c>
      <c r="J321" s="7">
        <v>201633</v>
      </c>
    </row>
    <row r="322" spans="2:16" hidden="1" x14ac:dyDescent="0.3">
      <c r="C322" s="1">
        <v>43160</v>
      </c>
      <c r="D322" s="21">
        <v>320</v>
      </c>
      <c r="E322" s="117"/>
      <c r="F322" t="s">
        <v>213</v>
      </c>
      <c r="G322" s="11">
        <v>15.07</v>
      </c>
      <c r="H322" s="11">
        <v>0</v>
      </c>
      <c r="I322" s="11">
        <f t="shared" si="15"/>
        <v>15.07</v>
      </c>
      <c r="J322" s="7">
        <v>201633</v>
      </c>
    </row>
    <row r="323" spans="2:16" hidden="1" x14ac:dyDescent="0.3">
      <c r="C323" s="1">
        <v>43160</v>
      </c>
      <c r="D323" s="21">
        <v>320</v>
      </c>
      <c r="E323" s="117"/>
      <c r="F323" t="s">
        <v>216</v>
      </c>
      <c r="G323" s="11">
        <v>81.45</v>
      </c>
      <c r="H323" s="11">
        <v>0</v>
      </c>
      <c r="I323" s="11">
        <f t="shared" si="15"/>
        <v>81.45</v>
      </c>
      <c r="J323" s="7">
        <v>201633</v>
      </c>
    </row>
    <row r="324" spans="2:16" hidden="1" x14ac:dyDescent="0.3">
      <c r="C324" s="1">
        <v>43160</v>
      </c>
      <c r="D324" s="21">
        <v>321</v>
      </c>
      <c r="E324" s="117"/>
      <c r="F324" t="s">
        <v>206</v>
      </c>
      <c r="G324" s="11">
        <v>175.11</v>
      </c>
      <c r="H324" s="11">
        <v>0</v>
      </c>
      <c r="I324" s="11">
        <f t="shared" si="15"/>
        <v>175.11</v>
      </c>
      <c r="J324" s="7">
        <v>201634</v>
      </c>
    </row>
    <row r="325" spans="2:16" hidden="1" x14ac:dyDescent="0.3">
      <c r="C325" s="1">
        <v>43160</v>
      </c>
      <c r="D325" s="21">
        <v>322</v>
      </c>
      <c r="E325" s="117"/>
      <c r="F325" t="s">
        <v>217</v>
      </c>
      <c r="G325" s="11">
        <v>28.13</v>
      </c>
      <c r="H325" s="11">
        <v>5.63</v>
      </c>
      <c r="I325" s="11">
        <f t="shared" si="15"/>
        <v>33.76</v>
      </c>
      <c r="J325" s="7">
        <v>201635</v>
      </c>
    </row>
    <row r="326" spans="2:16" hidden="1" x14ac:dyDescent="0.3">
      <c r="C326" s="1">
        <v>43160</v>
      </c>
      <c r="D326" s="21">
        <v>323</v>
      </c>
      <c r="E326" s="117"/>
      <c r="F326" t="s">
        <v>220</v>
      </c>
      <c r="G326" s="11">
        <v>34.99</v>
      </c>
      <c r="H326" s="11">
        <v>7</v>
      </c>
      <c r="I326" s="11">
        <f t="shared" si="15"/>
        <v>41.99</v>
      </c>
      <c r="J326" s="7">
        <v>201636</v>
      </c>
    </row>
    <row r="327" spans="2:16" hidden="1" x14ac:dyDescent="0.3">
      <c r="C327" s="1">
        <v>43160</v>
      </c>
      <c r="D327" s="21">
        <v>324</v>
      </c>
      <c r="E327" s="117"/>
      <c r="F327" t="s">
        <v>218</v>
      </c>
      <c r="G327" s="11">
        <v>693</v>
      </c>
      <c r="H327" s="11">
        <v>0</v>
      </c>
      <c r="I327" s="11">
        <f t="shared" si="15"/>
        <v>693</v>
      </c>
      <c r="J327" s="7" t="s">
        <v>26</v>
      </c>
    </row>
    <row r="328" spans="2:16" hidden="1" x14ac:dyDescent="0.3">
      <c r="C328" s="1">
        <v>42817</v>
      </c>
      <c r="D328" s="21">
        <v>325</v>
      </c>
      <c r="E328" s="117"/>
      <c r="F328" t="s">
        <v>209</v>
      </c>
      <c r="I328" s="11">
        <v>110.55</v>
      </c>
      <c r="J328" s="7">
        <v>201637</v>
      </c>
    </row>
    <row r="329" spans="2:16" hidden="1" x14ac:dyDescent="0.3">
      <c r="C329" s="1">
        <v>43182</v>
      </c>
      <c r="D329" s="21">
        <v>326</v>
      </c>
      <c r="E329" s="117"/>
      <c r="F329" t="s">
        <v>217</v>
      </c>
      <c r="G329" s="11">
        <v>79.98</v>
      </c>
      <c r="H329" s="11">
        <v>16</v>
      </c>
      <c r="I329" s="11">
        <v>95.98</v>
      </c>
      <c r="J329" s="7">
        <v>201638</v>
      </c>
    </row>
    <row r="330" spans="2:16" hidden="1" x14ac:dyDescent="0.3">
      <c r="C330" s="1">
        <v>43182</v>
      </c>
      <c r="D330" s="21">
        <v>327</v>
      </c>
      <c r="E330" s="117"/>
      <c r="F330" t="s">
        <v>128</v>
      </c>
      <c r="G330" s="11">
        <v>6.72</v>
      </c>
      <c r="H330" s="11">
        <v>0</v>
      </c>
      <c r="I330" s="11">
        <v>6.72</v>
      </c>
      <c r="J330" s="7">
        <v>201639</v>
      </c>
    </row>
    <row r="331" spans="2:16" hidden="1" x14ac:dyDescent="0.3">
      <c r="D331" s="21"/>
      <c r="E331" s="117"/>
      <c r="G331" s="11">
        <f>SUM(G320:G330)</f>
        <v>1874.0600000000004</v>
      </c>
      <c r="H331" s="11">
        <f>SUM(H320:H330)</f>
        <v>65.63</v>
      </c>
      <c r="I331" s="11">
        <f>SUM(I320:I330)</f>
        <v>2050.2400000000002</v>
      </c>
    </row>
    <row r="332" spans="2:16" hidden="1" x14ac:dyDescent="0.3">
      <c r="D332" s="21"/>
      <c r="E332" s="117"/>
    </row>
    <row r="333" spans="2:16" ht="39" x14ac:dyDescent="0.3">
      <c r="D333" s="21"/>
      <c r="E333" s="117"/>
      <c r="F333" s="48" t="s">
        <v>323</v>
      </c>
      <c r="K333" s="11"/>
      <c r="L333" s="186"/>
    </row>
    <row r="334" spans="2:16" ht="13.5" thickBot="1" x14ac:dyDescent="0.35">
      <c r="D334" s="21"/>
      <c r="E334" s="117"/>
    </row>
    <row r="335" spans="2:16" ht="26" x14ac:dyDescent="0.3">
      <c r="B335" s="55"/>
      <c r="C335" s="203" t="s">
        <v>263</v>
      </c>
      <c r="D335" s="56" t="s">
        <v>1</v>
      </c>
      <c r="E335" s="120" t="s">
        <v>250</v>
      </c>
      <c r="F335" s="37" t="s">
        <v>243</v>
      </c>
      <c r="G335" s="57" t="s">
        <v>229</v>
      </c>
      <c r="H335" s="57" t="s">
        <v>222</v>
      </c>
      <c r="I335" s="57" t="s">
        <v>230</v>
      </c>
      <c r="J335" s="199" t="s">
        <v>262</v>
      </c>
      <c r="K335" s="58" t="s">
        <v>231</v>
      </c>
      <c r="L335" s="57" t="s">
        <v>238</v>
      </c>
      <c r="M335" s="134" t="s">
        <v>259</v>
      </c>
      <c r="N335" s="346" t="s">
        <v>249</v>
      </c>
      <c r="O335" s="66"/>
      <c r="P335" s="158" t="s">
        <v>301</v>
      </c>
    </row>
    <row r="336" spans="2:16" ht="13.9" customHeight="1" x14ac:dyDescent="0.3">
      <c r="B336" s="33">
        <f>'Annual Expenditure'!B336</f>
        <v>45748</v>
      </c>
      <c r="C336" s="44">
        <f>'Annual Expenditure'!C336</f>
        <v>45751</v>
      </c>
      <c r="D336" s="44" t="str">
        <f>'Annual Expenditure'!D336</f>
        <v>2025-26/001</v>
      </c>
      <c r="E336" s="238">
        <f>'Annual Expenditure'!E336</f>
        <v>8.1999999999999993</v>
      </c>
      <c r="F336" s="44" t="str">
        <f>'Annual Expenditure'!F336</f>
        <v>BT plc - V/Hall Wi-fi - connection fee and Feb/March charges</v>
      </c>
      <c r="G336" s="170">
        <f>'Annual Expenditure'!G336</f>
        <v>72.040000000000006</v>
      </c>
      <c r="H336" s="170">
        <f>'Annual Expenditure'!H336</f>
        <v>14.41</v>
      </c>
      <c r="I336" s="170">
        <f>'Annual Expenditure'!I336</f>
        <v>86.45</v>
      </c>
      <c r="J336" s="44" t="str">
        <f>'Annual Expenditure'!J336</f>
        <v>Direct Debit</v>
      </c>
      <c r="K336" s="44">
        <f>'Annual Expenditure'!K336</f>
        <v>45751</v>
      </c>
      <c r="L336" s="192">
        <f>'Annual Expenditure'!L336</f>
        <v>22</v>
      </c>
      <c r="M336" s="44"/>
      <c r="N336" s="245">
        <f>'Annual Expenditure'!N336</f>
        <v>2.8816000000000001E-2</v>
      </c>
      <c r="O336" s="40"/>
      <c r="P336" s="64" t="s">
        <v>302</v>
      </c>
    </row>
    <row r="337" spans="2:16" x14ac:dyDescent="0.3">
      <c r="B337" s="32"/>
      <c r="C337" s="44">
        <f>'Annual Expenditure'!C337</f>
        <v>45756</v>
      </c>
      <c r="D337" s="44" t="str">
        <f>'Annual Expenditure'!D337</f>
        <v>2025-26/002</v>
      </c>
      <c r="E337" s="238">
        <f>'Annual Expenditure'!E337</f>
        <v>8.1999999999999993</v>
      </c>
      <c r="F337" s="44" t="str">
        <f>'Annual Expenditure'!F337</f>
        <v>One Voice Wales - Membership Fees for 2025/26</v>
      </c>
      <c r="G337" s="170">
        <f>'Annual Expenditure'!G337</f>
        <v>177</v>
      </c>
      <c r="H337" s="170">
        <f>'Annual Expenditure'!H337</f>
        <v>0</v>
      </c>
      <c r="I337" s="170">
        <f>'Annual Expenditure'!I337</f>
        <v>177</v>
      </c>
      <c r="J337" s="44" t="str">
        <f>'Annual Expenditure'!J337</f>
        <v>Bank Transfer</v>
      </c>
      <c r="K337" s="44">
        <f>'Annual Expenditure'!K337</f>
        <v>45756</v>
      </c>
      <c r="L337" s="192">
        <f>'Annual Expenditure'!L337</f>
        <v>10</v>
      </c>
      <c r="M337" s="136"/>
      <c r="N337" s="245">
        <f>'Annual Expenditure'!N337</f>
        <v>0.43596059113300495</v>
      </c>
      <c r="O337" s="40"/>
      <c r="P337" s="64" t="s">
        <v>319</v>
      </c>
    </row>
    <row r="338" spans="2:16" x14ac:dyDescent="0.3">
      <c r="B338" s="32"/>
      <c r="C338" s="44">
        <f>'Annual Expenditure'!C338</f>
        <v>45756</v>
      </c>
      <c r="D338" s="44" t="str">
        <f>'Annual Expenditure'!D338</f>
        <v>2025-26/003</v>
      </c>
      <c r="E338" s="238">
        <f>'Annual Expenditure'!E338</f>
        <v>8.1999999999999993</v>
      </c>
      <c r="F338" s="44" t="str">
        <f>'Annual Expenditure'!F338</f>
        <v>HMRC Cumbernaud - Employer NIC 2024/25, Q4 to 05/04/25</v>
      </c>
      <c r="G338" s="170">
        <f>'Annual Expenditure'!G338</f>
        <v>106.38</v>
      </c>
      <c r="H338" s="170">
        <f>'Annual Expenditure'!H338</f>
        <v>0</v>
      </c>
      <c r="I338" s="170">
        <f>'Annual Expenditure'!I338</f>
        <v>106.38</v>
      </c>
      <c r="J338" s="44" t="str">
        <f>'Annual Expenditure'!J338</f>
        <v>Bank Transfer</v>
      </c>
      <c r="K338" s="44">
        <f>'Annual Expenditure'!K338</f>
        <v>45756</v>
      </c>
      <c r="L338" s="192">
        <f>'Annual Expenditure'!L338</f>
        <v>2</v>
      </c>
      <c r="M338" s="135"/>
      <c r="N338" s="245">
        <f>'Annual Expenditure'!N338</f>
        <v>8.2304335716275184E-2</v>
      </c>
      <c r="O338" s="40"/>
      <c r="P338" s="64" t="s">
        <v>256</v>
      </c>
    </row>
    <row r="339" spans="2:16" x14ac:dyDescent="0.3">
      <c r="B339" s="32"/>
      <c r="C339" s="44">
        <f>'Annual Expenditure'!C339</f>
        <v>45756</v>
      </c>
      <c r="D339" s="44" t="str">
        <f>'Annual Expenditure'!D339</f>
        <v>2025-26/004</v>
      </c>
      <c r="E339" s="238">
        <f>'Annual Expenditure'!E339</f>
        <v>8.1999999999999993</v>
      </c>
      <c r="F339" s="44" t="str">
        <f>'Annual Expenditure'!F339</f>
        <v>Cleaner Care Ltd - V/Hall Clean for March</v>
      </c>
      <c r="G339" s="170">
        <f>'Annual Expenditure'!G339</f>
        <v>46.25</v>
      </c>
      <c r="H339" s="170">
        <f>'Annual Expenditure'!H339</f>
        <v>9.25</v>
      </c>
      <c r="I339" s="170">
        <f>'Annual Expenditure'!I339</f>
        <v>55.5</v>
      </c>
      <c r="J339" s="44" t="str">
        <f>'Annual Expenditure'!J339</f>
        <v>Bank Transfer</v>
      </c>
      <c r="K339" s="44">
        <f>'Annual Expenditure'!K339</f>
        <v>45756</v>
      </c>
      <c r="L339" s="192">
        <f>'Annual Expenditure'!L339</f>
        <v>22</v>
      </c>
      <c r="M339" s="135"/>
      <c r="N339" s="245">
        <f>'Annual Expenditure'!N339</f>
        <v>4.7316000000000004E-2</v>
      </c>
      <c r="O339" s="40"/>
      <c r="P339" s="64" t="s">
        <v>257</v>
      </c>
    </row>
    <row r="340" spans="2:16" x14ac:dyDescent="0.3">
      <c r="B340" s="32"/>
      <c r="C340" s="44">
        <f>'Annual Expenditure'!C340</f>
        <v>45769</v>
      </c>
      <c r="D340" s="44" t="str">
        <f>'Annual Expenditure'!D340</f>
        <v>2025-26/005</v>
      </c>
      <c r="E340" s="238">
        <f>'Annual Expenditure'!E340</f>
        <v>8.1999999999999993</v>
      </c>
      <c r="F340" s="44" t="str">
        <f>'Annual Expenditure'!F340</f>
        <v>Currys Office 365 - Annual Office 365 Subscription</v>
      </c>
      <c r="G340" s="170">
        <f>'Annual Expenditure'!G340</f>
        <v>84.99</v>
      </c>
      <c r="H340" s="170">
        <f>'Annual Expenditure'!H340</f>
        <v>0</v>
      </c>
      <c r="I340" s="170">
        <f>'Annual Expenditure'!I340</f>
        <v>84.99</v>
      </c>
      <c r="J340" s="44" t="str">
        <f>'Annual Expenditure'!J340</f>
        <v>Debit Card</v>
      </c>
      <c r="K340" s="44">
        <f>'Annual Expenditure'!K340</f>
        <v>45769</v>
      </c>
      <c r="L340" s="192">
        <f>'Annual Expenditure'!L340</f>
        <v>9</v>
      </c>
      <c r="M340" s="135"/>
      <c r="N340" s="344">
        <f>'Annual Expenditure'!N340</f>
        <v>1.0623749999999998</v>
      </c>
      <c r="O340" s="40"/>
      <c r="P340" s="64" t="s">
        <v>266</v>
      </c>
    </row>
    <row r="341" spans="2:16" x14ac:dyDescent="0.3">
      <c r="B341" s="32"/>
      <c r="C341" s="44">
        <f>'Annual Expenditure'!C341</f>
        <v>45756</v>
      </c>
      <c r="D341" s="44" t="str">
        <f>'Annual Expenditure'!D341</f>
        <v>2025-26/006</v>
      </c>
      <c r="E341" s="238">
        <f>'Annual Expenditure'!E341</f>
        <v>8.1999999999999993</v>
      </c>
      <c r="F341" s="44" t="str">
        <f>'Annual Expenditure'!F341</f>
        <v>Iona Edwards Cyf - Payroll Services for 2024/25</v>
      </c>
      <c r="G341" s="170">
        <f>'Annual Expenditure'!G341</f>
        <v>50</v>
      </c>
      <c r="H341" s="170">
        <f>'Annual Expenditure'!H341</f>
        <v>10</v>
      </c>
      <c r="I341" s="170">
        <f>'Annual Expenditure'!I341</f>
        <v>60</v>
      </c>
      <c r="J341" s="44" t="str">
        <f>'Annual Expenditure'!J341</f>
        <v>Bank Transfer</v>
      </c>
      <c r="K341" s="44">
        <f>'Annual Expenditure'!K341</f>
        <v>45756</v>
      </c>
      <c r="L341" s="192">
        <f>'Annual Expenditure'!L341</f>
        <v>13</v>
      </c>
      <c r="M341" s="135"/>
      <c r="N341" s="245">
        <f>'Annual Expenditure'!N341</f>
        <v>3.125E-2</v>
      </c>
      <c r="O341" s="40"/>
      <c r="P341" s="64" t="s">
        <v>303</v>
      </c>
    </row>
    <row r="342" spans="2:16" x14ac:dyDescent="0.3">
      <c r="B342" s="32"/>
      <c r="C342" s="44">
        <f>'Annual Expenditure'!C342</f>
        <v>45765</v>
      </c>
      <c r="D342" s="44" t="str">
        <f>'Annual Expenditure'!D342</f>
        <v>2025-26/007</v>
      </c>
      <c r="E342" s="238">
        <f>'Annual Expenditure'!E342</f>
        <v>8.1999999999999993</v>
      </c>
      <c r="F342" s="44" t="str">
        <f>'Annual Expenditure'!F342</f>
        <v>HSBC - Bank Charges, monthly account fee for March</v>
      </c>
      <c r="G342" s="170">
        <f>'Annual Expenditure'!G342</f>
        <v>5</v>
      </c>
      <c r="H342" s="170">
        <f>'Annual Expenditure'!H342</f>
        <v>0</v>
      </c>
      <c r="I342" s="170">
        <f>'Annual Expenditure'!I342</f>
        <v>5</v>
      </c>
      <c r="J342" s="44" t="str">
        <f>'Annual Expenditure'!J342</f>
        <v>Direct Payment</v>
      </c>
      <c r="K342" s="44">
        <f>'Annual Expenditure'!K342</f>
        <v>45768</v>
      </c>
      <c r="L342" s="192">
        <f>'Annual Expenditure'!L342</f>
        <v>34</v>
      </c>
      <c r="M342" s="135"/>
      <c r="N342" s="245">
        <f>'Annual Expenditure'!N342</f>
        <v>0.05</v>
      </c>
      <c r="O342" s="40"/>
      <c r="P342" s="64" t="s">
        <v>267</v>
      </c>
    </row>
    <row r="343" spans="2:16" x14ac:dyDescent="0.3">
      <c r="B343" s="32"/>
      <c r="C343" s="44">
        <f>'Annual Expenditure'!C343</f>
        <v>45775</v>
      </c>
      <c r="D343" s="44" t="str">
        <f>'Annual Expenditure'!D343</f>
        <v>2025-26/008</v>
      </c>
      <c r="E343" s="238">
        <f>'Annual Expenditure'!E343</f>
        <v>8.1999999999999993</v>
      </c>
      <c r="F343" s="44" t="str">
        <f>'Annual Expenditure'!F343</f>
        <v>V Teasdale - Clerk's Salary for April</v>
      </c>
      <c r="G343" s="170">
        <f>'Annual Expenditure'!G343</f>
        <v>1014.94</v>
      </c>
      <c r="H343" s="170">
        <f>'Annual Expenditure'!H343</f>
        <v>0</v>
      </c>
      <c r="I343" s="170">
        <f>'Annual Expenditure'!I343</f>
        <v>1014.94</v>
      </c>
      <c r="J343" s="44" t="str">
        <f>'Annual Expenditure'!J343</f>
        <v>S/Order</v>
      </c>
      <c r="K343" s="44">
        <f>'Annual Expenditure'!K343</f>
        <v>45775</v>
      </c>
      <c r="L343" s="192">
        <f>'Annual Expenditure'!L343</f>
        <v>1</v>
      </c>
      <c r="M343" s="135"/>
      <c r="N343" s="245">
        <f>'Annual Expenditure'!N343</f>
        <v>7.9365042128516416E-2</v>
      </c>
      <c r="O343" s="40"/>
      <c r="P343" s="64" t="s">
        <v>304</v>
      </c>
    </row>
    <row r="344" spans="2:16" x14ac:dyDescent="0.3">
      <c r="B344" s="72"/>
      <c r="C344" s="44">
        <f>'Annual Expenditure'!C344</f>
        <v>45775</v>
      </c>
      <c r="D344" s="44" t="str">
        <f>'Annual Expenditure'!D344</f>
        <v>2025-26/009</v>
      </c>
      <c r="E344" s="238">
        <f>'Annual Expenditure'!E344</f>
        <v>8.1999999999999993</v>
      </c>
      <c r="F344" s="44" t="str">
        <f>'Annual Expenditure'!F344</f>
        <v>V Teasdale - WFH allowance for April</v>
      </c>
      <c r="G344" s="170">
        <f>'Annual Expenditure'!G344</f>
        <v>26</v>
      </c>
      <c r="H344" s="170">
        <f>'Annual Expenditure'!H344</f>
        <v>0</v>
      </c>
      <c r="I344" s="170">
        <f>'Annual Expenditure'!I344</f>
        <v>26</v>
      </c>
      <c r="J344" s="44" t="str">
        <f>'Annual Expenditure'!J344</f>
        <v>S/Order</v>
      </c>
      <c r="K344" s="44">
        <f>'Annual Expenditure'!K344</f>
        <v>45775</v>
      </c>
      <c r="L344" s="192">
        <f>'Annual Expenditure'!L344</f>
        <v>3</v>
      </c>
      <c r="M344" s="140"/>
      <c r="N344" s="245">
        <f>'Annual Expenditure'!N344</f>
        <v>8.3333333333333329E-2</v>
      </c>
      <c r="O344" s="40"/>
      <c r="P344" s="64" t="s">
        <v>510</v>
      </c>
    </row>
    <row r="345" spans="2:16" ht="13.5" thickBot="1" x14ac:dyDescent="0.35">
      <c r="B345" s="34"/>
      <c r="C345" s="35"/>
      <c r="D345" s="60"/>
      <c r="E345" s="122"/>
      <c r="F345" s="35"/>
      <c r="G345" s="246">
        <f>'Annual Expenditure'!G345</f>
        <v>1582.6000000000001</v>
      </c>
      <c r="H345" s="246">
        <f>'Annual Expenditure'!H345</f>
        <v>33.659999999999997</v>
      </c>
      <c r="I345" s="246">
        <f>'Annual Expenditure'!I345</f>
        <v>1616.26</v>
      </c>
      <c r="J345" s="36"/>
      <c r="K345" s="63"/>
      <c r="L345" s="61"/>
      <c r="M345" s="138"/>
      <c r="N345" s="62"/>
      <c r="O345" s="40"/>
      <c r="P345" s="64" t="s">
        <v>305</v>
      </c>
    </row>
    <row r="346" spans="2:16" ht="16.75" customHeight="1" thickBot="1" x14ac:dyDescent="0.35">
      <c r="B346" s="249"/>
      <c r="C346" s="210" t="s">
        <v>263</v>
      </c>
      <c r="D346" s="181" t="s">
        <v>1</v>
      </c>
      <c r="E346" s="182" t="s">
        <v>244</v>
      </c>
      <c r="F346" s="180" t="s">
        <v>243</v>
      </c>
      <c r="G346" s="183" t="s">
        <v>229</v>
      </c>
      <c r="H346" s="183" t="s">
        <v>222</v>
      </c>
      <c r="I346" s="183" t="s">
        <v>230</v>
      </c>
      <c r="J346" s="202" t="s">
        <v>262</v>
      </c>
      <c r="K346" s="184" t="s">
        <v>231</v>
      </c>
      <c r="L346" s="183" t="s">
        <v>238</v>
      </c>
      <c r="M346" s="185" t="s">
        <v>259</v>
      </c>
      <c r="N346" s="250" t="s">
        <v>249</v>
      </c>
      <c r="O346" s="40"/>
      <c r="P346" s="64" t="s">
        <v>306</v>
      </c>
    </row>
    <row r="347" spans="2:16" x14ac:dyDescent="0.3">
      <c r="B347" s="95">
        <v>45778</v>
      </c>
      <c r="C347" s="97">
        <f>'Annual Expenditure'!C347</f>
        <v>45778</v>
      </c>
      <c r="D347" s="97" t="str">
        <f>'Annual Expenditure'!D347</f>
        <v>2025-26/010</v>
      </c>
      <c r="E347" s="284">
        <f>'Annual Expenditure'!E347</f>
        <v>31.2</v>
      </c>
      <c r="F347" s="97" t="str">
        <f>'Annual Expenditure'!F347</f>
        <v>OVO Energy Ltd - VH electricity usage, 07/03/25 to 06/04/25</v>
      </c>
      <c r="G347" s="167">
        <f>'Annual Expenditure'!G347</f>
        <v>83.63</v>
      </c>
      <c r="H347" s="167">
        <f>'Annual Expenditure'!H347</f>
        <v>4.18</v>
      </c>
      <c r="I347" s="167">
        <f>'Annual Expenditure'!I347</f>
        <v>87.81</v>
      </c>
      <c r="J347" s="97" t="str">
        <f>'Annual Expenditure'!J347</f>
        <v>Bank Transfer</v>
      </c>
      <c r="K347" s="97">
        <f>'Annual Expenditure'!K347</f>
        <v>45778</v>
      </c>
      <c r="L347" s="193">
        <f>'Annual Expenditure'!L347</f>
        <v>22</v>
      </c>
      <c r="M347" s="97"/>
      <c r="N347" s="285">
        <f>'Annual Expenditure'!N347</f>
        <v>6.2268000000000004E-2</v>
      </c>
      <c r="O347" s="40"/>
      <c r="P347" s="64" t="s">
        <v>307</v>
      </c>
    </row>
    <row r="348" spans="2:16" x14ac:dyDescent="0.3">
      <c r="B348" s="33"/>
      <c r="C348" s="97">
        <f>'Annual Expenditure'!C348</f>
        <v>45783</v>
      </c>
      <c r="D348" s="97" t="str">
        <f>'Annual Expenditure'!D348</f>
        <v>2025-26/011</v>
      </c>
      <c r="E348" s="284">
        <f>'Annual Expenditure'!E348</f>
        <v>31.2</v>
      </c>
      <c r="F348" s="97" t="str">
        <f>'Annual Expenditure'!F348</f>
        <v>BT plc - V/Hall Wi-fi, April charges</v>
      </c>
      <c r="G348" s="167">
        <f>'Annual Expenditure'!G348</f>
        <v>32.950000000000003</v>
      </c>
      <c r="H348" s="167">
        <f>'Annual Expenditure'!H348</f>
        <v>6.59</v>
      </c>
      <c r="I348" s="167">
        <f>'Annual Expenditure'!I348</f>
        <v>39.540000000000006</v>
      </c>
      <c r="J348" s="97" t="str">
        <f>'Annual Expenditure'!J348</f>
        <v>Direct Debit</v>
      </c>
      <c r="K348" s="97">
        <f>'Annual Expenditure'!K348</f>
        <v>45783</v>
      </c>
      <c r="L348" s="193">
        <f>'Annual Expenditure'!L348</f>
        <v>22</v>
      </c>
      <c r="M348" s="97"/>
      <c r="N348" s="285">
        <f>'Annual Expenditure'!N348</f>
        <v>7.5448000000000001E-2</v>
      </c>
      <c r="O348" s="40"/>
      <c r="P348" s="64" t="s">
        <v>308</v>
      </c>
    </row>
    <row r="349" spans="2:16" x14ac:dyDescent="0.3">
      <c r="B349" s="32"/>
      <c r="C349" s="97">
        <f>'Annual Expenditure'!C349</f>
        <v>45783</v>
      </c>
      <c r="D349" s="97" t="str">
        <f>'Annual Expenditure'!D349</f>
        <v>2025-26/012</v>
      </c>
      <c r="E349" s="284">
        <f>'Annual Expenditure'!E349</f>
        <v>31.2</v>
      </c>
      <c r="F349" s="97" t="str">
        <f>'Annual Expenditure'!F349</f>
        <v>Microsoft - Teams Essentials Annual Subscription</v>
      </c>
      <c r="G349" s="167">
        <f>'Annual Expenditure'!G349</f>
        <v>37.200000000000003</v>
      </c>
      <c r="H349" s="167">
        <f>'Annual Expenditure'!H349</f>
        <v>7.44</v>
      </c>
      <c r="I349" s="167">
        <f>'Annual Expenditure'!I349</f>
        <v>44.64</v>
      </c>
      <c r="J349" s="97" t="str">
        <f>'Annual Expenditure'!J349</f>
        <v>Debit Card</v>
      </c>
      <c r="K349" s="97">
        <f>'Annual Expenditure'!K349</f>
        <v>45784</v>
      </c>
      <c r="L349" s="193">
        <f>'Annual Expenditure'!L349</f>
        <v>9</v>
      </c>
      <c r="M349" s="97"/>
      <c r="N349" s="345">
        <f>'Annual Expenditure'!N349</f>
        <v>0.93992307692307686</v>
      </c>
      <c r="O349" s="40"/>
      <c r="P349" s="64" t="s">
        <v>239</v>
      </c>
    </row>
    <row r="350" spans="2:16" x14ac:dyDescent="0.3">
      <c r="B350" s="72"/>
      <c r="C350" s="97">
        <f>'Annual Expenditure'!C350</f>
        <v>45792</v>
      </c>
      <c r="D350" s="97" t="str">
        <f>'Annual Expenditure'!D350</f>
        <v>2025-26/013</v>
      </c>
      <c r="E350" s="284">
        <f>'Annual Expenditure'!E350</f>
        <v>31.2</v>
      </c>
      <c r="F350" s="97" t="str">
        <f>'Annual Expenditure'!F350</f>
        <v>Cleaner Care Ltd - V/Hall Clean for April</v>
      </c>
      <c r="G350" s="167">
        <f>'Annual Expenditure'!G350</f>
        <v>51.25</v>
      </c>
      <c r="H350" s="167">
        <f>'Annual Expenditure'!H350</f>
        <v>10.25</v>
      </c>
      <c r="I350" s="167">
        <f>'Annual Expenditure'!I350</f>
        <v>61.5</v>
      </c>
      <c r="J350" s="97" t="str">
        <f>'Annual Expenditure'!J350</f>
        <v>Bank Transfer</v>
      </c>
      <c r="K350" s="97">
        <f>'Annual Expenditure'!K350</f>
        <v>45792</v>
      </c>
      <c r="L350" s="193">
        <f>'Annual Expenditure'!L350</f>
        <v>22</v>
      </c>
      <c r="M350" s="97"/>
      <c r="N350" s="285">
        <f>'Annual Expenditure'!N350</f>
        <v>9.5948000000000006E-2</v>
      </c>
      <c r="O350" s="40"/>
      <c r="P350" s="64" t="s">
        <v>309</v>
      </c>
    </row>
    <row r="351" spans="2:16" x14ac:dyDescent="0.3">
      <c r="B351" s="72"/>
      <c r="C351" s="97">
        <f>'Annual Expenditure'!C351</f>
        <v>45792</v>
      </c>
      <c r="D351" s="97" t="str">
        <f>'Annual Expenditure'!D351</f>
        <v>2025-26/014</v>
      </c>
      <c r="E351" s="284">
        <f>'Annual Expenditure'!E351</f>
        <v>31.2</v>
      </c>
      <c r="F351" s="97" t="str">
        <f>'Annual Expenditure'!F351</f>
        <v>Rob Duncalf - Cemetery Cut for April</v>
      </c>
      <c r="G351" s="167">
        <f>'Annual Expenditure'!G351</f>
        <v>250</v>
      </c>
      <c r="H351" s="167">
        <f>'Annual Expenditure'!H351</f>
        <v>0</v>
      </c>
      <c r="I351" s="167">
        <f>'Annual Expenditure'!I351</f>
        <v>250</v>
      </c>
      <c r="J351" s="97" t="str">
        <f>'Annual Expenditure'!J351</f>
        <v>Bank Transfer</v>
      </c>
      <c r="K351" s="97">
        <f>'Annual Expenditure'!K351</f>
        <v>45792</v>
      </c>
      <c r="L351" s="193">
        <f>'Annual Expenditure'!L351</f>
        <v>17</v>
      </c>
      <c r="M351" s="97"/>
      <c r="N351" s="285">
        <f>'Annual Expenditure'!N351</f>
        <v>8.1967213114754092E-2</v>
      </c>
      <c r="O351" s="67"/>
      <c r="P351" s="64" t="s">
        <v>240</v>
      </c>
    </row>
    <row r="352" spans="2:16" x14ac:dyDescent="0.3">
      <c r="B352" s="72"/>
      <c r="C352" s="97">
        <f>'Annual Expenditure'!C352</f>
        <v>45792</v>
      </c>
      <c r="D352" s="97" t="str">
        <f>'Annual Expenditure'!D352</f>
        <v>2025-26/015</v>
      </c>
      <c r="E352" s="284">
        <f>'Annual Expenditure'!E352</f>
        <v>31.2</v>
      </c>
      <c r="F352" s="97" t="str">
        <f>'Annual Expenditure'!F352</f>
        <v>Rob Duncalf - Cemetery Extension Cut for April</v>
      </c>
      <c r="G352" s="167">
        <f>'Annual Expenditure'!G352</f>
        <v>400</v>
      </c>
      <c r="H352" s="167">
        <f>'Annual Expenditure'!H352</f>
        <v>0</v>
      </c>
      <c r="I352" s="167">
        <f>'Annual Expenditure'!I352</f>
        <v>400</v>
      </c>
      <c r="J352" s="97" t="str">
        <f>'Annual Expenditure'!J352</f>
        <v>Bank Transfer</v>
      </c>
      <c r="K352" s="97">
        <f>'Annual Expenditure'!K352</f>
        <v>45792</v>
      </c>
      <c r="L352" s="193">
        <f>'Annual Expenditure'!L352</f>
        <v>17</v>
      </c>
      <c r="M352" s="97"/>
      <c r="N352" s="285">
        <f>'Annual Expenditure'!N352</f>
        <v>0.21311475409836064</v>
      </c>
      <c r="O352" s="40"/>
      <c r="P352" s="64" t="s">
        <v>310</v>
      </c>
    </row>
    <row r="353" spans="2:16" x14ac:dyDescent="0.3">
      <c r="B353" s="72"/>
      <c r="C353" s="97">
        <f>'Annual Expenditure'!C353</f>
        <v>45798</v>
      </c>
      <c r="D353" s="97" t="str">
        <f>'Annual Expenditure'!D353</f>
        <v>2025-26/016</v>
      </c>
      <c r="E353" s="284">
        <f>'Annual Expenditure'!E353</f>
        <v>31.2</v>
      </c>
      <c r="F353" s="97" t="str">
        <f>'Annual Expenditure'!F353</f>
        <v>HSBC - Bank Charges, monthly account fee for April</v>
      </c>
      <c r="G353" s="167">
        <f>'Annual Expenditure'!G353</f>
        <v>5</v>
      </c>
      <c r="H353" s="167">
        <f>'Annual Expenditure'!H353</f>
        <v>0</v>
      </c>
      <c r="I353" s="167">
        <f>'Annual Expenditure'!I353</f>
        <v>5</v>
      </c>
      <c r="J353" s="97" t="str">
        <f>'Annual Expenditure'!J353</f>
        <v>Direct Payment</v>
      </c>
      <c r="K353" s="97">
        <f>'Annual Expenditure'!K353</f>
        <v>45792</v>
      </c>
      <c r="L353" s="193">
        <f>'Annual Expenditure'!L353</f>
        <v>34</v>
      </c>
      <c r="M353" s="97"/>
      <c r="N353" s="285">
        <f>'Annual Expenditure'!N353</f>
        <v>0.1</v>
      </c>
      <c r="O353" s="40"/>
      <c r="P353" s="64" t="s">
        <v>511</v>
      </c>
    </row>
    <row r="354" spans="2:16" x14ac:dyDescent="0.3">
      <c r="B354" s="72"/>
      <c r="C354" s="97">
        <f>'Annual Expenditure'!C354</f>
        <v>45805</v>
      </c>
      <c r="D354" s="97" t="str">
        <f>'Annual Expenditure'!D354</f>
        <v>2025-26/017</v>
      </c>
      <c r="E354" s="284">
        <f>'Annual Expenditure'!E354</f>
        <v>31.2</v>
      </c>
      <c r="F354" s="97" t="str">
        <f>'Annual Expenditure'!F354</f>
        <v>V Teasdale - Clerk's Salary for May</v>
      </c>
      <c r="G354" s="167">
        <f>'Annual Expenditure'!G354</f>
        <v>1014.94</v>
      </c>
      <c r="H354" s="167">
        <f>'Annual Expenditure'!H354</f>
        <v>0</v>
      </c>
      <c r="I354" s="167">
        <f>'Annual Expenditure'!I354</f>
        <v>1014.94</v>
      </c>
      <c r="J354" s="97" t="str">
        <f>'Annual Expenditure'!J354</f>
        <v>S/Order</v>
      </c>
      <c r="K354" s="97">
        <f>'Annual Expenditure'!K354</f>
        <v>45805</v>
      </c>
      <c r="L354" s="193">
        <f>'Annual Expenditure'!L354</f>
        <v>1</v>
      </c>
      <c r="M354" s="97"/>
      <c r="N354" s="285">
        <f>'Annual Expenditure'!N354</f>
        <v>0.15873008425703283</v>
      </c>
      <c r="O354" s="40"/>
      <c r="P354" s="64" t="s">
        <v>311</v>
      </c>
    </row>
    <row r="355" spans="2:16" x14ac:dyDescent="0.3">
      <c r="B355" s="72"/>
      <c r="C355" s="97">
        <f>'Annual Expenditure'!C355</f>
        <v>45805</v>
      </c>
      <c r="D355" s="97" t="str">
        <f>'Annual Expenditure'!D355</f>
        <v>2025-26/018</v>
      </c>
      <c r="E355" s="284">
        <f>'Annual Expenditure'!E355</f>
        <v>31.2</v>
      </c>
      <c r="F355" s="97" t="str">
        <f>'Annual Expenditure'!F355</f>
        <v>V Teasdale - WFH allowance for May</v>
      </c>
      <c r="G355" s="167">
        <f>'Annual Expenditure'!G355</f>
        <v>26</v>
      </c>
      <c r="H355" s="167">
        <f>'Annual Expenditure'!H355</f>
        <v>0</v>
      </c>
      <c r="I355" s="167">
        <f>'Annual Expenditure'!I355</f>
        <v>26</v>
      </c>
      <c r="J355" s="97" t="str">
        <f>'Annual Expenditure'!J355</f>
        <v>S/Order</v>
      </c>
      <c r="K355" s="97">
        <f>'Annual Expenditure'!K355</f>
        <v>45440</v>
      </c>
      <c r="L355" s="193">
        <f>'Annual Expenditure'!L355</f>
        <v>3</v>
      </c>
      <c r="M355" s="97"/>
      <c r="N355" s="285">
        <f>'Annual Expenditure'!N355</f>
        <v>0.16666666666666666</v>
      </c>
      <c r="O355" s="40"/>
      <c r="P355" s="64" t="s">
        <v>312</v>
      </c>
    </row>
    <row r="356" spans="2:16" x14ac:dyDescent="0.3">
      <c r="B356" s="72"/>
      <c r="C356" s="97">
        <f>'Annual Expenditure'!C356</f>
        <v>45792</v>
      </c>
      <c r="D356" s="97" t="str">
        <f>'Annual Expenditure'!D356</f>
        <v>2025-26/019</v>
      </c>
      <c r="E356" s="284">
        <f>'Annual Expenditure'!E356</f>
        <v>53.2</v>
      </c>
      <c r="F356" s="97" t="str">
        <f>'Annual Expenditure'!F356</f>
        <v>OVO Energy Ltd - VH electricity usage, 07/04/24 to 06/05/24</v>
      </c>
      <c r="G356" s="167">
        <f>'Annual Expenditure'!G356</f>
        <v>36.159999999999997</v>
      </c>
      <c r="H356" s="167">
        <f>'Annual Expenditure'!H356</f>
        <v>1.81</v>
      </c>
      <c r="I356" s="167">
        <f>'Annual Expenditure'!I356</f>
        <v>37.97</v>
      </c>
      <c r="J356" s="97" t="str">
        <f>'Annual Expenditure'!J356</f>
        <v>Bank Transfer</v>
      </c>
      <c r="K356" s="97">
        <f>'Annual Expenditure'!K356</f>
        <v>45792</v>
      </c>
      <c r="L356" s="193">
        <f>'Annual Expenditure'!L356</f>
        <v>22</v>
      </c>
      <c r="M356" s="97"/>
      <c r="N356" s="285">
        <f>'Annual Expenditure'!N356</f>
        <v>0.11041199999999998</v>
      </c>
      <c r="O356" s="40"/>
      <c r="P356" s="64" t="s">
        <v>268</v>
      </c>
    </row>
    <row r="357" spans="2:16" ht="13.5" thickBot="1" x14ac:dyDescent="0.35">
      <c r="B357" s="72"/>
      <c r="C357" s="68"/>
      <c r="D357" s="60"/>
      <c r="E357" s="122"/>
      <c r="F357" s="35"/>
      <c r="G357" s="36">
        <f>SUM(G347:G356)</f>
        <v>1937.13</v>
      </c>
      <c r="H357" s="36">
        <f t="shared" ref="H357:I357" si="16">SUM(H347:H356)</f>
        <v>30.27</v>
      </c>
      <c r="I357" s="36">
        <f t="shared" si="16"/>
        <v>1967.4</v>
      </c>
      <c r="J357" s="69"/>
      <c r="K357" s="68"/>
      <c r="L357" s="61"/>
      <c r="M357" s="138"/>
      <c r="N357" s="62"/>
      <c r="O357" s="40"/>
      <c r="P357" s="266" t="s">
        <v>313</v>
      </c>
    </row>
    <row r="358" spans="2:16" ht="26" x14ac:dyDescent="0.3">
      <c r="B358" s="55"/>
      <c r="C358" s="204" t="s">
        <v>263</v>
      </c>
      <c r="D358" s="129" t="s">
        <v>1</v>
      </c>
      <c r="E358" s="130" t="s">
        <v>244</v>
      </c>
      <c r="F358" s="128" t="s">
        <v>243</v>
      </c>
      <c r="G358" s="131" t="s">
        <v>229</v>
      </c>
      <c r="H358" s="131" t="s">
        <v>222</v>
      </c>
      <c r="I358" s="131" t="s">
        <v>230</v>
      </c>
      <c r="J358" s="200" t="s">
        <v>262</v>
      </c>
      <c r="K358" s="132" t="s">
        <v>231</v>
      </c>
      <c r="L358" s="131" t="s">
        <v>238</v>
      </c>
      <c r="M358" s="141" t="s">
        <v>259</v>
      </c>
      <c r="N358" s="133" t="s">
        <v>249</v>
      </c>
      <c r="O358" s="40"/>
      <c r="P358" s="64" t="s">
        <v>241</v>
      </c>
    </row>
    <row r="359" spans="2:16" x14ac:dyDescent="0.3">
      <c r="B359" s="33">
        <v>45809</v>
      </c>
      <c r="C359" s="28">
        <f>'Annual Expenditure'!C359</f>
        <v>45814</v>
      </c>
      <c r="D359" s="41" t="str">
        <f>'Annual Expenditure'!D359</f>
        <v>2025-26/020</v>
      </c>
      <c r="E359" s="124">
        <f>'Annual Expenditure'!E359</f>
        <v>53.2</v>
      </c>
      <c r="F359" s="27" t="str">
        <f>'Annual Expenditure'!F359</f>
        <v>BT plc - V/Hall Wi-fi, May charges</v>
      </c>
      <c r="G359" s="29">
        <f>'Annual Expenditure'!G359</f>
        <v>32.950000000000003</v>
      </c>
      <c r="H359" s="29">
        <f>'Annual Expenditure'!H359</f>
        <v>6.59</v>
      </c>
      <c r="I359" s="29">
        <f>'Annual Expenditure'!I359</f>
        <v>39.540000000000006</v>
      </c>
      <c r="J359" s="195" t="str">
        <f>'Annual Expenditure'!J359</f>
        <v>Direct Debit</v>
      </c>
      <c r="K359" s="28"/>
      <c r="L359" s="30">
        <f>'Annual Expenditure'!L359</f>
        <v>22</v>
      </c>
      <c r="M359" s="136"/>
      <c r="N359" s="59">
        <f>'Annual Expenditure'!N359</f>
        <v>0.12359199999999998</v>
      </c>
      <c r="O359" s="40"/>
      <c r="P359" s="64" t="s">
        <v>314</v>
      </c>
    </row>
    <row r="360" spans="2:16" x14ac:dyDescent="0.3">
      <c r="B360" s="32"/>
      <c r="C360" s="28">
        <f>'Annual Expenditure'!C360</f>
        <v>45819</v>
      </c>
      <c r="D360" s="41" t="str">
        <f>'Annual Expenditure'!D360</f>
        <v>2025-26/021</v>
      </c>
      <c r="E360" s="124">
        <f>'Annual Expenditure'!E360</f>
        <v>53.2</v>
      </c>
      <c r="F360" s="27" t="str">
        <f>'Annual Expenditure'!F360</f>
        <v>C T Roberts Plant Hire Ltd - All abilities footpath resurfacing materials</v>
      </c>
      <c r="G360" s="29">
        <f>'Annual Expenditure'!G360</f>
        <v>1556.7</v>
      </c>
      <c r="H360" s="29">
        <f>'Annual Expenditure'!H360</f>
        <v>311.33999999999997</v>
      </c>
      <c r="I360" s="29">
        <f>'Annual Expenditure'!I360</f>
        <v>1868.04</v>
      </c>
      <c r="J360" s="195" t="str">
        <f>'Annual Expenditure'!J360</f>
        <v>Bank Transfer</v>
      </c>
      <c r="K360" s="28"/>
      <c r="L360" s="30">
        <f>'Annual Expenditure'!L360</f>
        <v>19</v>
      </c>
      <c r="M360" s="136"/>
      <c r="N360" s="59"/>
      <c r="O360" s="40"/>
      <c r="P360" s="64" t="s">
        <v>242</v>
      </c>
    </row>
    <row r="361" spans="2:16" x14ac:dyDescent="0.3">
      <c r="B361" s="32"/>
      <c r="C361" s="28">
        <f>'Annual Expenditure'!C361</f>
        <v>45827</v>
      </c>
      <c r="D361" s="41" t="str">
        <f>'Annual Expenditure'!D361</f>
        <v>2025-26/022</v>
      </c>
      <c r="E361" s="124">
        <f>'Annual Expenditure'!E361</f>
        <v>53.2</v>
      </c>
      <c r="F361" s="27" t="str">
        <f>'Annual Expenditure'!F361</f>
        <v>Cyfieithu Cymunedol Cyf - Translation of Annual Report</v>
      </c>
      <c r="G361" s="29">
        <f>'Annual Expenditure'!G361</f>
        <v>113.75</v>
      </c>
      <c r="H361" s="29">
        <f>'Annual Expenditure'!H361</f>
        <v>22.75</v>
      </c>
      <c r="I361" s="29">
        <f>'Annual Expenditure'!I361</f>
        <v>136.5</v>
      </c>
      <c r="J361" s="195" t="str">
        <f>'Annual Expenditure'!J361</f>
        <v>Bank Transfer</v>
      </c>
      <c r="K361" s="28"/>
      <c r="L361" s="30">
        <f>'Annual Expenditure'!L361</f>
        <v>8</v>
      </c>
      <c r="M361" s="136"/>
      <c r="N361" s="59">
        <f>'Annual Expenditure'!N361</f>
        <v>0.25852272727272729</v>
      </c>
      <c r="O361" s="40"/>
      <c r="P361" s="64" t="s">
        <v>272</v>
      </c>
    </row>
    <row r="362" spans="2:16" x14ac:dyDescent="0.3">
      <c r="B362" s="72"/>
      <c r="C362" s="28">
        <f>'Annual Expenditure'!C362</f>
        <v>45827</v>
      </c>
      <c r="D362" s="41" t="str">
        <f>'Annual Expenditure'!D362</f>
        <v>2025-26/023</v>
      </c>
      <c r="E362" s="124">
        <f>'Annual Expenditure'!E362</f>
        <v>53.2</v>
      </c>
      <c r="F362" s="27" t="str">
        <f>'Annual Expenditure'!F362</f>
        <v>Frank Smith - Preparatory tree works re footpath resurfacing</v>
      </c>
      <c r="G362" s="29">
        <f>'Annual Expenditure'!G362</f>
        <v>1120</v>
      </c>
      <c r="H362" s="29">
        <f>'Annual Expenditure'!H362</f>
        <v>0</v>
      </c>
      <c r="I362" s="29">
        <f>'Annual Expenditure'!I362</f>
        <v>1120</v>
      </c>
      <c r="J362" s="195" t="str">
        <f>'Annual Expenditure'!J362</f>
        <v>Bank Transfer</v>
      </c>
      <c r="K362" s="28"/>
      <c r="L362" s="30">
        <f>'Annual Expenditure'!L362</f>
        <v>19</v>
      </c>
      <c r="M362" s="136"/>
      <c r="N362" s="59"/>
      <c r="O362" s="40"/>
      <c r="P362" s="64" t="s">
        <v>315</v>
      </c>
    </row>
    <row r="363" spans="2:16" x14ac:dyDescent="0.3">
      <c r="B363" s="72"/>
      <c r="C363" s="28">
        <f>'Annual Expenditure'!C363</f>
        <v>45827</v>
      </c>
      <c r="D363" s="41" t="str">
        <f>'Annual Expenditure'!D363</f>
        <v>2025-26/024</v>
      </c>
      <c r="E363" s="124">
        <f>'Annual Expenditure'!E363</f>
        <v>53.2</v>
      </c>
      <c r="F363" s="27" t="str">
        <f>'Annual Expenditure'!F363</f>
        <v>Cyfieithu Cymunedol Cyf - Translation of consultation document</v>
      </c>
      <c r="G363" s="29">
        <f>'Annual Expenditure'!G363</f>
        <v>98.42</v>
      </c>
      <c r="H363" s="29">
        <f>'Annual Expenditure'!H363</f>
        <v>19.68</v>
      </c>
      <c r="I363" s="29">
        <f>'Annual Expenditure'!I363</f>
        <v>118.1</v>
      </c>
      <c r="J363" s="195" t="str">
        <f>'Annual Expenditure'!J363</f>
        <v>Bank Transfer</v>
      </c>
      <c r="K363" s="28"/>
      <c r="L363" s="30">
        <f>'Annual Expenditure'!L363</f>
        <v>8</v>
      </c>
      <c r="M363" s="136"/>
      <c r="N363" s="59">
        <f>'Annual Expenditure'!N363</f>
        <v>0.4822045454545455</v>
      </c>
      <c r="O363" s="40"/>
      <c r="P363" s="64" t="s">
        <v>320</v>
      </c>
    </row>
    <row r="364" spans="2:16" x14ac:dyDescent="0.3">
      <c r="B364" s="72"/>
      <c r="C364" s="28">
        <f>'Annual Expenditure'!C364</f>
        <v>45827</v>
      </c>
      <c r="D364" s="41" t="str">
        <f>'Annual Expenditure'!D364</f>
        <v>2025-26/025</v>
      </c>
      <c r="E364" s="124">
        <f>'Annual Expenditure'!E364</f>
        <v>53.2</v>
      </c>
      <c r="F364" s="27" t="str">
        <f>'Annual Expenditure'!F364</f>
        <v>Rob Duncalf - Cemetery strimming and path spraying for May</v>
      </c>
      <c r="G364" s="29">
        <f>'Annual Expenditure'!G364</f>
        <v>300</v>
      </c>
      <c r="H364" s="29">
        <f>'Annual Expenditure'!H364</f>
        <v>0</v>
      </c>
      <c r="I364" s="29">
        <f>'Annual Expenditure'!I364</f>
        <v>300</v>
      </c>
      <c r="J364" s="195" t="str">
        <f>'Annual Expenditure'!J364</f>
        <v>Bank Transfer</v>
      </c>
      <c r="K364" s="28"/>
      <c r="L364" s="30">
        <f>'Annual Expenditure'!L364</f>
        <v>17</v>
      </c>
      <c r="M364" s="136"/>
      <c r="N364" s="59">
        <f>'Annual Expenditure'!N364</f>
        <v>0.31147540983606559</v>
      </c>
      <c r="O364" s="40"/>
      <c r="P364" s="64" t="s">
        <v>316</v>
      </c>
    </row>
    <row r="365" spans="2:16" x14ac:dyDescent="0.3">
      <c r="B365" s="72"/>
      <c r="C365" s="28">
        <f>'Annual Expenditure'!C365</f>
        <v>45827</v>
      </c>
      <c r="D365" s="41" t="str">
        <f>'Annual Expenditure'!D365</f>
        <v>2025-26/026</v>
      </c>
      <c r="E365" s="124">
        <f>'Annual Expenditure'!E365</f>
        <v>53.2</v>
      </c>
      <c r="F365" s="27" t="str">
        <f>'Annual Expenditure'!F365</f>
        <v>Rob Duncalf - Spring 2025 footpath maintenance</v>
      </c>
      <c r="G365" s="29">
        <f>'Annual Expenditure'!G365</f>
        <v>600</v>
      </c>
      <c r="H365" s="29">
        <f>'Annual Expenditure'!H365</f>
        <v>0</v>
      </c>
      <c r="I365" s="29">
        <f>'Annual Expenditure'!I365</f>
        <v>600</v>
      </c>
      <c r="J365" s="195" t="str">
        <f>'Annual Expenditure'!J365</f>
        <v>Bank Transfer</v>
      </c>
      <c r="K365" s="28"/>
      <c r="L365" s="30">
        <f>'Annual Expenditure'!L365</f>
        <v>19</v>
      </c>
      <c r="M365" s="136"/>
      <c r="N365" s="59">
        <f>'Annual Expenditure'!N365</f>
        <v>0.83446660045330689</v>
      </c>
      <c r="O365" s="67"/>
      <c r="P365" s="64" t="s">
        <v>518</v>
      </c>
    </row>
    <row r="366" spans="2:16" x14ac:dyDescent="0.3">
      <c r="B366" s="72"/>
      <c r="C366" s="28">
        <f>'Annual Expenditure'!C366</f>
        <v>45827</v>
      </c>
      <c r="D366" s="41" t="str">
        <f>'Annual Expenditure'!D366</f>
        <v>2025-26/027</v>
      </c>
      <c r="E366" s="124">
        <f>'Annual Expenditure'!E366</f>
        <v>53.2</v>
      </c>
      <c r="F366" s="27" t="str">
        <f>'Annual Expenditure'!F366</f>
        <v>Cleaner Care Ltd - VH Clean for May</v>
      </c>
      <c r="G366" s="29">
        <f>'Annual Expenditure'!G366</f>
        <v>51.25</v>
      </c>
      <c r="H366" s="29">
        <f>'Annual Expenditure'!H366</f>
        <v>10.25</v>
      </c>
      <c r="I366" s="29">
        <f>'Annual Expenditure'!I366</f>
        <v>61.5</v>
      </c>
      <c r="J366" s="195" t="str">
        <f>'Annual Expenditure'!J366</f>
        <v>Bank Transfer</v>
      </c>
      <c r="K366" s="28"/>
      <c r="L366" s="30">
        <f>'Annual Expenditure'!L366</f>
        <v>22</v>
      </c>
      <c r="M366" s="136"/>
      <c r="N366" s="59">
        <f>'Annual Expenditure'!N366</f>
        <v>0.144092</v>
      </c>
      <c r="O366" s="40"/>
      <c r="P366" s="64" t="s">
        <v>258</v>
      </c>
    </row>
    <row r="367" spans="2:16" x14ac:dyDescent="0.3">
      <c r="B367" s="72"/>
      <c r="C367" s="28">
        <f>'Annual Expenditure'!C367</f>
        <v>45827</v>
      </c>
      <c r="D367" s="41" t="str">
        <f>'Annual Expenditure'!D367</f>
        <v>2025-26/028</v>
      </c>
      <c r="E367" s="124">
        <f>'Annual Expenditure'!E367</f>
        <v>53.2</v>
      </c>
      <c r="F367" s="27" t="str">
        <f>'Annual Expenditure'!F367</f>
        <v>OVO Energy Ltd - VH electricity usage, 07/05/25 to 06/06/25</v>
      </c>
      <c r="G367" s="29">
        <f>'Annual Expenditure'!G367</f>
        <v>51.81</v>
      </c>
      <c r="H367" s="29">
        <f>'Annual Expenditure'!H367</f>
        <v>2.59</v>
      </c>
      <c r="I367" s="29">
        <f>'Annual Expenditure'!I367</f>
        <v>54.400000000000006</v>
      </c>
      <c r="J367" s="195" t="str">
        <f>'Annual Expenditure'!J367</f>
        <v>Bank Transfer</v>
      </c>
      <c r="K367" s="28"/>
      <c r="L367" s="30">
        <f>'Annual Expenditure'!L367</f>
        <v>22</v>
      </c>
      <c r="M367" s="136"/>
      <c r="N367" s="59">
        <f>'Annual Expenditure'!N367</f>
        <v>0.16481599999999999</v>
      </c>
      <c r="O367" s="40"/>
      <c r="P367" s="64" t="s">
        <v>317</v>
      </c>
    </row>
    <row r="368" spans="2:16" x14ac:dyDescent="0.3">
      <c r="B368" s="72"/>
      <c r="C368" s="28">
        <f>'Annual Expenditure'!C368</f>
        <v>45827</v>
      </c>
      <c r="D368" s="41" t="str">
        <f>'Annual Expenditure'!D368</f>
        <v>2025-26/029</v>
      </c>
      <c r="E368" s="124">
        <f>'Annual Expenditure'!E368</f>
        <v>53.2</v>
      </c>
      <c r="F368" s="27" t="str">
        <f>'Annual Expenditure'!F368</f>
        <v>Firemaster (Colwyn Bay) Ltd - VH Extinguisher Annual Service</v>
      </c>
      <c r="G368" s="29">
        <f>'Annual Expenditure'!G368</f>
        <v>108.6</v>
      </c>
      <c r="H368" s="29">
        <f>'Annual Expenditure'!H368</f>
        <v>21.72</v>
      </c>
      <c r="I368" s="29">
        <f>'Annual Expenditure'!I368</f>
        <v>130.32</v>
      </c>
      <c r="J368" s="195" t="str">
        <f>'Annual Expenditure'!J368</f>
        <v>Bank Transfer</v>
      </c>
      <c r="K368" s="28"/>
      <c r="L368" s="30">
        <f>'Annual Expenditure'!L368</f>
        <v>22</v>
      </c>
      <c r="M368" s="136"/>
      <c r="N368" s="59">
        <f>'Annual Expenditure'!N368</f>
        <v>0.208256</v>
      </c>
      <c r="O368" s="40"/>
      <c r="P368" s="64" t="s">
        <v>321</v>
      </c>
    </row>
    <row r="369" spans="2:16" x14ac:dyDescent="0.3">
      <c r="B369" s="72"/>
      <c r="C369" s="28">
        <f>'Annual Expenditure'!C369</f>
        <v>45827</v>
      </c>
      <c r="D369" s="41" t="str">
        <f>'Annual Expenditure'!D369</f>
        <v>2025-26/030</v>
      </c>
      <c r="E369" s="124">
        <f>'Annual Expenditure'!E369</f>
        <v>53.2</v>
      </c>
      <c r="F369" s="27" t="str">
        <f>'Annual Expenditure'!F369</f>
        <v>Idris Bowen - 2025/26 Councillor Allowances</v>
      </c>
      <c r="G369" s="29">
        <f>'Annual Expenditure'!G369</f>
        <v>208</v>
      </c>
      <c r="H369" s="29">
        <f>'Annual Expenditure'!H369</f>
        <v>0</v>
      </c>
      <c r="I369" s="29">
        <f>'Annual Expenditure'!I369</f>
        <v>208</v>
      </c>
      <c r="J369" s="195" t="str">
        <f>'Annual Expenditure'!J369</f>
        <v>Bank Transfer</v>
      </c>
      <c r="K369" s="28"/>
      <c r="L369" s="30">
        <f>'Annual Expenditure'!L369</f>
        <v>27</v>
      </c>
      <c r="M369" s="136"/>
      <c r="N369" s="59">
        <f>'Annual Expenditure'!N369</f>
        <v>0.5</v>
      </c>
      <c r="P369" s="281" t="s">
        <v>261</v>
      </c>
    </row>
    <row r="370" spans="2:16" ht="13.5" thickBot="1" x14ac:dyDescent="0.35">
      <c r="B370" s="72"/>
      <c r="C370" s="28">
        <f>'Annual Expenditure'!C370</f>
        <v>45827</v>
      </c>
      <c r="D370" s="41" t="str">
        <f>'Annual Expenditure'!D370</f>
        <v>2025-26/031</v>
      </c>
      <c r="E370" s="124">
        <f>'Annual Expenditure'!E370</f>
        <v>53.2</v>
      </c>
      <c r="F370" s="27" t="str">
        <f>'Annual Expenditure'!F370</f>
        <v>Jackie Jewett - 2025/26 Councillor Allowances</v>
      </c>
      <c r="G370" s="29">
        <f>'Annual Expenditure'!G370</f>
        <v>208</v>
      </c>
      <c r="H370" s="29">
        <f>'Annual Expenditure'!H370</f>
        <v>0</v>
      </c>
      <c r="I370" s="29">
        <f>'Annual Expenditure'!I370</f>
        <v>208</v>
      </c>
      <c r="J370" s="195" t="str">
        <f>'Annual Expenditure'!J370</f>
        <v>Bank Transfer</v>
      </c>
      <c r="K370" s="28"/>
      <c r="L370" s="30">
        <f>'Annual Expenditure'!L370</f>
        <v>27</v>
      </c>
      <c r="M370" s="136"/>
      <c r="N370" s="59">
        <f>'Annual Expenditure'!N370</f>
        <v>1</v>
      </c>
      <c r="P370" s="65" t="s">
        <v>318</v>
      </c>
    </row>
    <row r="371" spans="2:16" x14ac:dyDescent="0.3">
      <c r="B371" s="72"/>
      <c r="C371" s="28">
        <f>'Annual Expenditure'!C371</f>
        <v>45829</v>
      </c>
      <c r="D371" s="41" t="str">
        <f>'Annual Expenditure'!D371</f>
        <v>2025-26/032</v>
      </c>
      <c r="E371" s="124">
        <f>'Annual Expenditure'!E371</f>
        <v>53.2</v>
      </c>
      <c r="F371" s="27" t="str">
        <f>'Annual Expenditure'!F371</f>
        <v>HSBC - Bank Charges, monthly account fee/charges for May</v>
      </c>
      <c r="G371" s="29">
        <f>'Annual Expenditure'!G371</f>
        <v>5.8</v>
      </c>
      <c r="H371" s="29">
        <f>'Annual Expenditure'!H371</f>
        <v>0</v>
      </c>
      <c r="I371" s="29">
        <f>'Annual Expenditure'!I371</f>
        <v>5.8</v>
      </c>
      <c r="J371" s="195" t="str">
        <f>'Annual Expenditure'!J371</f>
        <v>Direct Payment</v>
      </c>
      <c r="K371" s="28"/>
      <c r="L371" s="30">
        <f>'Annual Expenditure'!L371</f>
        <v>34</v>
      </c>
      <c r="M371" s="136"/>
      <c r="N371" s="59">
        <f>'Annual Expenditure'!N371</f>
        <v>0.158</v>
      </c>
    </row>
    <row r="372" spans="2:16" x14ac:dyDescent="0.3">
      <c r="B372" s="72"/>
      <c r="C372" s="28">
        <f>'Annual Expenditure'!C372</f>
        <v>45825</v>
      </c>
      <c r="D372" s="41" t="str">
        <f>'Annual Expenditure'!D372</f>
        <v>2025-26/033</v>
      </c>
      <c r="E372" s="124">
        <f>'Annual Expenditure'!E372</f>
        <v>53.2</v>
      </c>
      <c r="F372" s="27" t="str">
        <f>'Annual Expenditure'!F372</f>
        <v>Conwy CBC - 2025/26 Toilet Recharges, Gower Road Toilets</v>
      </c>
      <c r="G372" s="29">
        <f>'Annual Expenditure'!G372</f>
        <v>8313</v>
      </c>
      <c r="H372" s="29">
        <f>'Annual Expenditure'!H372</f>
        <v>1662.6</v>
      </c>
      <c r="I372" s="29">
        <f>'Annual Expenditure'!I372</f>
        <v>9975.6</v>
      </c>
      <c r="J372" s="195" t="str">
        <f>'Annual Expenditure'!J372</f>
        <v>Cheque</v>
      </c>
      <c r="K372" s="28"/>
      <c r="L372" s="30">
        <f>'Annual Expenditure'!L372</f>
        <v>29</v>
      </c>
      <c r="M372" s="136"/>
      <c r="N372" s="59">
        <f>'Annual Expenditure'!N372</f>
        <v>0.67516751269035535</v>
      </c>
    </row>
    <row r="373" spans="2:16" x14ac:dyDescent="0.3">
      <c r="B373" s="72"/>
      <c r="C373" s="28">
        <f>'Annual Expenditure'!C373</f>
        <v>45838</v>
      </c>
      <c r="D373" s="41" t="str">
        <f>'Annual Expenditure'!D373</f>
        <v>2025-26/034</v>
      </c>
      <c r="E373" s="124">
        <f>'Annual Expenditure'!E373</f>
        <v>53.2</v>
      </c>
      <c r="F373" s="27" t="str">
        <f>'Annual Expenditure'!F373</f>
        <v>Clerk’s Salary for June</v>
      </c>
      <c r="G373" s="29">
        <f>'Annual Expenditure'!G373</f>
        <v>1014.94</v>
      </c>
      <c r="H373" s="29">
        <f>'Annual Expenditure'!H373</f>
        <v>0</v>
      </c>
      <c r="I373" s="29">
        <f>'Annual Expenditure'!I373</f>
        <v>1014.94</v>
      </c>
      <c r="J373" s="195" t="str">
        <f>'Annual Expenditure'!J373</f>
        <v>S/Order</v>
      </c>
      <c r="K373" s="28"/>
      <c r="L373" s="30">
        <f>'Annual Expenditure'!L373</f>
        <v>1</v>
      </c>
      <c r="M373" s="136"/>
      <c r="N373" s="59">
        <f>'Annual Expenditure'!N373</f>
        <v>0.23809512638554925</v>
      </c>
    </row>
    <row r="374" spans="2:16" x14ac:dyDescent="0.3">
      <c r="B374" s="72"/>
      <c r="C374" s="28">
        <f>'Annual Expenditure'!C374</f>
        <v>45838</v>
      </c>
      <c r="D374" s="41" t="str">
        <f>'Annual Expenditure'!D374</f>
        <v>2025-26/035</v>
      </c>
      <c r="E374" s="124">
        <f>'Annual Expenditure'!E374</f>
        <v>53.2</v>
      </c>
      <c r="F374" s="27" t="str">
        <f>'Annual Expenditure'!F374</f>
        <v>Clerk’s Office Allowance for June (WFH)</v>
      </c>
      <c r="G374" s="29">
        <f>'Annual Expenditure'!G374</f>
        <v>26</v>
      </c>
      <c r="H374" s="29">
        <f>'Annual Expenditure'!H374</f>
        <v>0</v>
      </c>
      <c r="I374" s="29">
        <f>'Annual Expenditure'!I374</f>
        <v>26</v>
      </c>
      <c r="J374" s="195" t="str">
        <f>'Annual Expenditure'!J374</f>
        <v>S/Order</v>
      </c>
      <c r="K374" s="28"/>
      <c r="L374" s="30">
        <f>'Annual Expenditure'!L374</f>
        <v>3</v>
      </c>
      <c r="M374" s="136"/>
      <c r="N374" s="59">
        <f>'Annual Expenditure'!N374</f>
        <v>0.25</v>
      </c>
    </row>
    <row r="375" spans="2:16" x14ac:dyDescent="0.3">
      <c r="B375" s="72"/>
      <c r="C375" s="28">
        <f>'Annual Expenditure'!C375</f>
        <v>45827</v>
      </c>
      <c r="D375" s="41" t="str">
        <f>'Annual Expenditure'!D375</f>
        <v>2025-26/036</v>
      </c>
      <c r="E375" s="124">
        <f>'Annual Expenditure'!E375</f>
        <v>53.2</v>
      </c>
      <c r="F375" s="27" t="str">
        <f>'Annual Expenditure'!F375</f>
        <v>Cambrian - Recreation fields mowing for April</v>
      </c>
      <c r="G375" s="29">
        <f>'Annual Expenditure'!G375</f>
        <v>70</v>
      </c>
      <c r="H375" s="29">
        <f>'Annual Expenditure'!H375</f>
        <v>0</v>
      </c>
      <c r="I375" s="29">
        <f>'Annual Expenditure'!I375</f>
        <v>70</v>
      </c>
      <c r="J375" s="195" t="str">
        <f>'Annual Expenditure'!J375</f>
        <v>Bank Transfer</v>
      </c>
      <c r="K375" s="28"/>
      <c r="L375" s="30">
        <f>'Annual Expenditure'!L375</f>
        <v>15</v>
      </c>
      <c r="M375" s="136"/>
      <c r="N375" s="59">
        <f>'Annual Expenditure'!N375</f>
        <v>5.0724637681159424E-2</v>
      </c>
    </row>
    <row r="376" spans="2:16" x14ac:dyDescent="0.3">
      <c r="B376" s="72"/>
      <c r="C376" s="28">
        <f>'Annual Expenditure'!C376</f>
        <v>45827</v>
      </c>
      <c r="D376" s="41" t="str">
        <f>'Annual Expenditure'!D376</f>
        <v>2025-26/037</v>
      </c>
      <c r="E376" s="124">
        <f>'Annual Expenditure'!E376</f>
        <v>53.7</v>
      </c>
      <c r="F376" s="27" t="str">
        <f>'Annual Expenditure'!F376</f>
        <v>Eisteddfod Gadeiriol Dyffryn Conwy - donation, agreed 17/06/25</v>
      </c>
      <c r="G376" s="29">
        <f>'Annual Expenditure'!G376</f>
        <v>100</v>
      </c>
      <c r="H376" s="29">
        <f>'Annual Expenditure'!H376</f>
        <v>0</v>
      </c>
      <c r="I376" s="29">
        <f>'Annual Expenditure'!I376</f>
        <v>100</v>
      </c>
      <c r="J376" s="195" t="str">
        <f>'Annual Expenditure'!J376</f>
        <v>Bank Transfer</v>
      </c>
      <c r="K376" s="28"/>
      <c r="L376" s="30">
        <f>'Annual Expenditure'!L376</f>
        <v>26</v>
      </c>
      <c r="M376" s="340" t="s">
        <v>386</v>
      </c>
      <c r="N376" s="59">
        <f>'Annual Expenditure'!N376</f>
        <v>0.2</v>
      </c>
    </row>
    <row r="377" spans="2:16" x14ac:dyDescent="0.3">
      <c r="B377" s="72"/>
      <c r="C377" s="28">
        <f>'Annual Expenditure'!C377</f>
        <v>45834</v>
      </c>
      <c r="D377" s="41" t="str">
        <f>'Annual Expenditure'!D377</f>
        <v>2025-26/038</v>
      </c>
      <c r="E377" s="124">
        <f>'Annual Expenditure'!E377</f>
        <v>53.7</v>
      </c>
      <c r="F377" s="27" t="str">
        <f>'Annual Expenditure'!F377</f>
        <v>Marie Curie - donation, agreed 17/06/2025</v>
      </c>
      <c r="G377" s="29">
        <f>'Annual Expenditure'!G377</f>
        <v>150</v>
      </c>
      <c r="H377" s="29">
        <f>'Annual Expenditure'!H377</f>
        <v>0</v>
      </c>
      <c r="I377" s="29">
        <f>'Annual Expenditure'!I377</f>
        <v>150</v>
      </c>
      <c r="J377" s="195" t="str">
        <f>'Annual Expenditure'!J377</f>
        <v>Bank Transfer</v>
      </c>
      <c r="K377" s="28"/>
      <c r="L377" s="30">
        <f>'Annual Expenditure'!L377</f>
        <v>26</v>
      </c>
      <c r="M377" s="340" t="s">
        <v>386</v>
      </c>
      <c r="N377" s="59">
        <f>'Annual Expenditure'!N377</f>
        <v>0.5</v>
      </c>
    </row>
    <row r="378" spans="2:16" x14ac:dyDescent="0.3">
      <c r="B378" s="72"/>
      <c r="C378" s="28">
        <f>'Annual Expenditure'!C378</f>
        <v>45834</v>
      </c>
      <c r="D378" s="41" t="str">
        <f>'Annual Expenditure'!D378</f>
        <v>2025-26/039</v>
      </c>
      <c r="E378" s="124"/>
      <c r="F378" s="27" t="str">
        <f>'Annual Expenditure'!F378</f>
        <v>Cambrian - Recreation field (pitch) mowing May</v>
      </c>
      <c r="G378" s="29">
        <f>'Annual Expenditure'!G378</f>
        <v>35</v>
      </c>
      <c r="H378" s="29">
        <f>'Annual Expenditure'!H378</f>
        <v>0</v>
      </c>
      <c r="I378" s="29">
        <f>'Annual Expenditure'!I378</f>
        <v>35</v>
      </c>
      <c r="J378" s="195" t="str">
        <f>'Annual Expenditure'!J378</f>
        <v>Bank Transfer</v>
      </c>
      <c r="K378" s="28"/>
      <c r="L378" s="30">
        <f>'Annual Expenditure'!L378</f>
        <v>15</v>
      </c>
      <c r="M378" s="136"/>
      <c r="N378" s="59">
        <f>'Annual Expenditure'!N378</f>
        <v>7.6086956521739135E-2</v>
      </c>
    </row>
    <row r="379" spans="2:16" ht="13.5" thickBot="1" x14ac:dyDescent="0.35">
      <c r="B379" s="34"/>
      <c r="C379" s="68"/>
      <c r="D379" s="60"/>
      <c r="E379" s="122"/>
      <c r="F379" s="35"/>
      <c r="G379" s="36">
        <f>SUM(G359:G378)</f>
        <v>14164.22</v>
      </c>
      <c r="H379" s="36">
        <f t="shared" ref="H379:I379" si="17">SUM(H359:H378)</f>
        <v>2057.52</v>
      </c>
      <c r="I379" s="36">
        <f t="shared" si="17"/>
        <v>16221.74</v>
      </c>
      <c r="J379" s="69"/>
      <c r="K379" s="68"/>
      <c r="L379" s="61"/>
      <c r="M379" s="138"/>
      <c r="N379" s="62"/>
    </row>
    <row r="380" spans="2:16" ht="13.5" thickBot="1" x14ac:dyDescent="0.35"/>
    <row r="381" spans="2:16" x14ac:dyDescent="0.3">
      <c r="F381" s="100" t="s">
        <v>254</v>
      </c>
    </row>
    <row r="382" spans="2:16" x14ac:dyDescent="0.3">
      <c r="F382" s="101" t="s">
        <v>251</v>
      </c>
    </row>
    <row r="383" spans="2:16" ht="14.5" x14ac:dyDescent="0.35">
      <c r="F383" s="99" t="s">
        <v>252</v>
      </c>
    </row>
    <row r="384" spans="2:16" ht="15" thickBot="1" x14ac:dyDescent="0.4">
      <c r="F384" s="98" t="s">
        <v>253</v>
      </c>
    </row>
    <row r="482" spans="3:15" x14ac:dyDescent="0.3">
      <c r="O482" s="40"/>
    </row>
    <row r="483" spans="3:15" x14ac:dyDescent="0.3">
      <c r="O483" s="40"/>
    </row>
    <row r="484" spans="3:15" x14ac:dyDescent="0.3">
      <c r="O484" s="40"/>
    </row>
    <row r="485" spans="3:15" x14ac:dyDescent="0.3">
      <c r="O485" s="40"/>
    </row>
    <row r="486" spans="3:15" x14ac:dyDescent="0.3">
      <c r="O486" s="40"/>
    </row>
    <row r="487" spans="3:15" x14ac:dyDescent="0.3">
      <c r="O487" s="40"/>
    </row>
    <row r="488" spans="3:15" x14ac:dyDescent="0.3">
      <c r="C488" s="1"/>
      <c r="I488" s="26"/>
      <c r="L488" s="7"/>
      <c r="M488" s="7"/>
      <c r="N488" s="40"/>
      <c r="O488" s="40"/>
    </row>
    <row r="489" spans="3:15" x14ac:dyDescent="0.3">
      <c r="C489" s="1"/>
      <c r="I489" s="26"/>
      <c r="L489" s="7"/>
      <c r="M489" s="7"/>
      <c r="N489" s="40"/>
      <c r="O489" s="40"/>
    </row>
    <row r="490" spans="3:15" x14ac:dyDescent="0.3">
      <c r="C490" s="1"/>
      <c r="I490" s="26"/>
      <c r="L490" s="7"/>
      <c r="M490" s="7"/>
      <c r="N490" s="40"/>
      <c r="O490" s="40"/>
    </row>
    <row r="491" spans="3:15" x14ac:dyDescent="0.3">
      <c r="F491" s="11"/>
      <c r="I491" s="7"/>
      <c r="J491" s="1"/>
      <c r="K491"/>
      <c r="O491" s="40"/>
    </row>
    <row r="492" spans="3:15" x14ac:dyDescent="0.3">
      <c r="F492" s="11"/>
      <c r="I492" s="7"/>
      <c r="J492" s="1"/>
      <c r="K492"/>
      <c r="O492" s="40"/>
    </row>
    <row r="493" spans="3:15" x14ac:dyDescent="0.3">
      <c r="F493" s="11"/>
      <c r="I493" s="7"/>
      <c r="J493" s="1"/>
      <c r="K493"/>
      <c r="O493" s="40"/>
    </row>
    <row r="494" spans="3:15" x14ac:dyDescent="0.3">
      <c r="F494" s="11"/>
      <c r="I494" s="7"/>
      <c r="J494" s="1"/>
      <c r="K494"/>
      <c r="O494" s="40"/>
    </row>
    <row r="495" spans="3:15" x14ac:dyDescent="0.3">
      <c r="F495" s="11"/>
      <c r="I495" s="7"/>
      <c r="J495" s="1"/>
      <c r="K495"/>
      <c r="O495" s="40"/>
    </row>
    <row r="496" spans="3:15" x14ac:dyDescent="0.3">
      <c r="F496" s="11"/>
      <c r="I496" s="7"/>
      <c r="J496" s="1"/>
      <c r="K496"/>
    </row>
    <row r="497" spans="6:11" x14ac:dyDescent="0.3">
      <c r="F497" s="11"/>
      <c r="I497" s="7"/>
      <c r="J497" s="1"/>
      <c r="K497"/>
    </row>
    <row r="498" spans="6:11" x14ac:dyDescent="0.3">
      <c r="F498" s="11"/>
      <c r="I498" s="7"/>
      <c r="J498" s="1"/>
      <c r="K498"/>
    </row>
    <row r="499" spans="6:11" x14ac:dyDescent="0.3">
      <c r="F499" s="11"/>
      <c r="I499" s="7"/>
      <c r="J499" s="1"/>
      <c r="K499"/>
    </row>
    <row r="500" spans="6:11" x14ac:dyDescent="0.3">
      <c r="F500" s="11"/>
      <c r="I500" s="7"/>
      <c r="J500" s="1"/>
      <c r="K500"/>
    </row>
    <row r="501" spans="6:11" x14ac:dyDescent="0.3">
      <c r="F501" s="11"/>
      <c r="I501" s="7"/>
      <c r="J501" s="1"/>
      <c r="K501"/>
    </row>
    <row r="502" spans="6:11" x14ac:dyDescent="0.3">
      <c r="F502" s="11"/>
      <c r="I502" s="7"/>
      <c r="J502" s="1"/>
      <c r="K502"/>
    </row>
    <row r="503" spans="6:11" ht="13.5" thickBot="1" x14ac:dyDescent="0.35">
      <c r="F503" s="11"/>
      <c r="I503" s="7"/>
      <c r="J503" s="1"/>
      <c r="K503"/>
    </row>
    <row r="504" spans="6:11" ht="13.5" thickBot="1" x14ac:dyDescent="0.35">
      <c r="F504" s="11"/>
      <c r="G504" s="187">
        <v>698.7</v>
      </c>
      <c r="I504" s="7"/>
      <c r="J504" s="1"/>
      <c r="K504"/>
    </row>
    <row r="505" spans="6:11" ht="13.5" thickBot="1" x14ac:dyDescent="0.35">
      <c r="F505" s="11"/>
      <c r="G505" s="188">
        <v>35</v>
      </c>
      <c r="I505" s="7"/>
      <c r="J505" s="1"/>
      <c r="K505"/>
    </row>
    <row r="506" spans="6:11" ht="13.5" thickBot="1" x14ac:dyDescent="0.35">
      <c r="F506" s="11"/>
      <c r="G506" s="188">
        <v>131.58000000000001</v>
      </c>
      <c r="I506" s="7"/>
      <c r="J506" s="1"/>
      <c r="K506"/>
    </row>
    <row r="507" spans="6:11" ht="13.5" thickBot="1" x14ac:dyDescent="0.35">
      <c r="F507" s="11"/>
      <c r="G507" s="188">
        <v>103.81</v>
      </c>
      <c r="I507" s="7"/>
      <c r="J507" s="1"/>
      <c r="K507"/>
    </row>
    <row r="508" spans="6:11" ht="13.5" thickBot="1" x14ac:dyDescent="0.35">
      <c r="F508" s="11"/>
      <c r="G508" s="188">
        <v>270</v>
      </c>
      <c r="I508" s="7"/>
      <c r="J508" s="1"/>
      <c r="K508"/>
    </row>
    <row r="509" spans="6:11" ht="13.5" thickBot="1" x14ac:dyDescent="0.35">
      <c r="F509" s="11"/>
      <c r="G509" s="188">
        <v>185</v>
      </c>
      <c r="I509" s="7"/>
      <c r="J509" s="1"/>
      <c r="K509"/>
    </row>
    <row r="510" spans="6:11" ht="13.5" thickBot="1" x14ac:dyDescent="0.35">
      <c r="G510" s="188">
        <v>672</v>
      </c>
    </row>
    <row r="511" spans="6:11" ht="13.5" thickBot="1" x14ac:dyDescent="0.35">
      <c r="G511" s="188">
        <v>13.39</v>
      </c>
    </row>
    <row r="512" spans="6:11" ht="13.5" thickBot="1" x14ac:dyDescent="0.35">
      <c r="G512" s="188">
        <v>1200</v>
      </c>
    </row>
    <row r="513" spans="7:7" ht="13.5" thickBot="1" x14ac:dyDescent="0.35">
      <c r="G513" s="188">
        <v>54</v>
      </c>
    </row>
    <row r="514" spans="7:7" ht="13.5" thickBot="1" x14ac:dyDescent="0.35">
      <c r="G514" s="188">
        <v>288</v>
      </c>
    </row>
    <row r="515" spans="7:7" ht="13.5" thickBot="1" x14ac:dyDescent="0.35">
      <c r="G515" s="188">
        <v>200</v>
      </c>
    </row>
    <row r="516" spans="7:7" x14ac:dyDescent="0.3">
      <c r="G516" s="11">
        <f>SUM(G504:G515)</f>
        <v>3851.48</v>
      </c>
    </row>
  </sheetData>
  <phoneticPr fontId="3" type="noConversion"/>
  <conditionalFormatting sqref="N1:N335 N345:N346 N357:N379 N488:N1048576">
    <cfRule type="containsText" priority="2" operator="containsText" text="N/A">
      <formula>NOT(ISERROR(SEARCH("N/A",N1)))</formula>
    </cfRule>
    <cfRule type="cellIs" dxfId="44" priority="3" operator="equal">
      <formula>1</formula>
    </cfRule>
    <cfRule type="cellIs" dxfId="43" priority="4" operator="between">
      <formula>0.75</formula>
      <formula>0.99</formula>
    </cfRule>
    <cfRule type="cellIs" dxfId="42" priority="5" stopIfTrue="1" operator="greaterThan">
      <formula>1</formula>
    </cfRule>
    <cfRule type="cellIs" dxfId="41" priority="6" stopIfTrue="1" operator="equal">
      <formula>1</formula>
    </cfRule>
  </conditionalFormatting>
  <conditionalFormatting sqref="N1:N346 N357:N1048576">
    <cfRule type="containsText" dxfId="40" priority="1" operator="containsText" text="Reserves">
      <formula>NOT(ISERROR(SEARCH("Reserves",N1)))</formula>
    </cfRule>
  </conditionalFormatting>
  <conditionalFormatting sqref="N334:N335 N345:N346 N357:N379">
    <cfRule type="cellIs" dxfId="39" priority="8" stopIfTrue="1" operator="greaterThan">
      <formula>1</formula>
    </cfRule>
  </conditionalFormatting>
  <conditionalFormatting sqref="N335 N345:N346 N357:N379">
    <cfRule type="cellIs" dxfId="38" priority="7" stopIfTrue="1" operator="between">
      <formula>0.75</formula>
      <formula>0.99</formula>
    </cfRule>
  </conditionalFormatting>
  <pageMargins left="0.7" right="0.7" top="0.75" bottom="0.75" header="0.3" footer="0.3"/>
  <pageSetup paperSize="9" scale="22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3E7-1724-41EC-91CA-60141EB5AEAF}">
  <sheetPr>
    <tabColor theme="7" tint="0.59999389629810485"/>
    <pageSetUpPr fitToPage="1"/>
  </sheetPr>
  <dimension ref="B1:P47"/>
  <sheetViews>
    <sheetView zoomScaleNormal="100" workbookViewId="0">
      <selection activeCell="P33" sqref="P33"/>
    </sheetView>
  </sheetViews>
  <sheetFormatPr defaultRowHeight="13" x14ac:dyDescent="0.3"/>
  <cols>
    <col min="1" max="1" width="2.88671875" customWidth="1"/>
    <col min="2" max="2" width="7.109375" customWidth="1"/>
    <col min="3" max="3" width="10.88671875" bestFit="1" customWidth="1"/>
    <col min="4" max="4" width="10.88671875" customWidth="1"/>
    <col min="5" max="5" width="9.88671875" bestFit="1" customWidth="1"/>
    <col min="6" max="6" width="54.77734375" bestFit="1" customWidth="1"/>
    <col min="7" max="9" width="9.88671875" bestFit="1" customWidth="1"/>
    <col min="10" max="10" width="13.77734375" bestFit="1" customWidth="1"/>
    <col min="11" max="11" width="10.88671875" bestFit="1" customWidth="1"/>
    <col min="12" max="13" width="12.109375" customWidth="1"/>
    <col min="14" max="14" width="14.44140625" customWidth="1"/>
    <col min="15" max="15" width="2.5546875" customWidth="1"/>
    <col min="16" max="16" width="76.44140625" customWidth="1"/>
    <col min="17" max="17" width="8.6640625" customWidth="1"/>
    <col min="18" max="18" width="10.44140625" customWidth="1"/>
    <col min="19" max="19" width="15" bestFit="1" customWidth="1"/>
  </cols>
  <sheetData>
    <row r="1" spans="2:16" ht="39" x14ac:dyDescent="0.3">
      <c r="D1" s="21"/>
      <c r="E1" s="117"/>
      <c r="F1" s="48" t="s">
        <v>322</v>
      </c>
      <c r="G1" s="11"/>
      <c r="H1" s="11"/>
      <c r="I1" s="11"/>
      <c r="J1" s="7"/>
      <c r="K1" s="11"/>
      <c r="L1" s="186"/>
    </row>
    <row r="2" spans="2:16" ht="13.5" thickBot="1" x14ac:dyDescent="0.35">
      <c r="D2" s="21"/>
      <c r="E2" s="117"/>
      <c r="F2" s="48"/>
      <c r="G2" s="11"/>
      <c r="H2" s="11"/>
      <c r="I2" s="11"/>
      <c r="J2" s="7"/>
      <c r="K2" s="11"/>
      <c r="L2" s="186"/>
    </row>
    <row r="3" spans="2:16" ht="26.5" thickBot="1" x14ac:dyDescent="0.35">
      <c r="B3" s="248"/>
      <c r="C3" s="210" t="s">
        <v>263</v>
      </c>
      <c r="D3" s="181" t="s">
        <v>1</v>
      </c>
      <c r="E3" s="182" t="s">
        <v>244</v>
      </c>
      <c r="F3" s="180" t="s">
        <v>243</v>
      </c>
      <c r="G3" s="183" t="s">
        <v>229</v>
      </c>
      <c r="H3" s="183" t="s">
        <v>222</v>
      </c>
      <c r="I3" s="183" t="s">
        <v>230</v>
      </c>
      <c r="J3" s="202" t="s">
        <v>262</v>
      </c>
      <c r="K3" s="184" t="s">
        <v>231</v>
      </c>
      <c r="L3" s="183" t="s">
        <v>238</v>
      </c>
      <c r="M3" s="185" t="s">
        <v>259</v>
      </c>
      <c r="N3" s="349" t="s">
        <v>249</v>
      </c>
      <c r="O3" s="40"/>
      <c r="P3" s="158" t="s">
        <v>301</v>
      </c>
    </row>
    <row r="4" spans="2:16" x14ac:dyDescent="0.3">
      <c r="B4" s="247">
        <v>45839</v>
      </c>
      <c r="C4" s="97"/>
      <c r="D4" s="109" t="str">
        <f>'Annual Expenditure'!D381</f>
        <v>2025-26/040</v>
      </c>
      <c r="E4" s="123"/>
      <c r="F4" s="96" t="str">
        <f>'Annual Expenditure'!F381</f>
        <v>BT plc - V/Hall Wi-fi, June charges</v>
      </c>
      <c r="G4" s="52">
        <f>'Annual Expenditure'!G381</f>
        <v>32.950000000000003</v>
      </c>
      <c r="H4" s="52">
        <f>'Annual Expenditure'!H381</f>
        <v>6.59</v>
      </c>
      <c r="I4" s="52">
        <f>'Annual Expenditure'!I381</f>
        <v>39.540000000000006</v>
      </c>
      <c r="J4" s="52" t="str">
        <f>'Annual Expenditure'!J381</f>
        <v>Direct Debit</v>
      </c>
      <c r="K4" s="258">
        <f>'Annual Expenditure'!K381</f>
        <v>45842</v>
      </c>
      <c r="L4" s="111">
        <f>'Annual Expenditure'!L381</f>
        <v>22</v>
      </c>
      <c r="M4" s="243"/>
      <c r="N4" s="211">
        <f>'Annual Expenditure'!N381</f>
        <v>0.22143600000000002</v>
      </c>
      <c r="O4" s="40"/>
      <c r="P4" s="64" t="s">
        <v>302</v>
      </c>
    </row>
    <row r="5" spans="2:16" x14ac:dyDescent="0.3">
      <c r="B5" s="70"/>
      <c r="C5" s="28"/>
      <c r="D5" s="41" t="str">
        <f>'Annual Expenditure'!D382</f>
        <v>2025-26/041</v>
      </c>
      <c r="E5" s="124"/>
      <c r="F5" s="27" t="str">
        <f>'Annual Expenditure'!F382</f>
        <v>SLCC - Clerk's Qualification Fee (PIALC - Wales)</v>
      </c>
      <c r="G5" s="29">
        <f>'Annual Expenditure'!G382</f>
        <v>120</v>
      </c>
      <c r="H5" s="29">
        <f>'Annual Expenditure'!H382</f>
        <v>24</v>
      </c>
      <c r="I5" s="29">
        <f>'Annual Expenditure'!I382</f>
        <v>144</v>
      </c>
      <c r="J5" s="29" t="str">
        <f>'Annual Expenditure'!J382</f>
        <v>Bank Transfer</v>
      </c>
      <c r="K5" s="258">
        <f>'Annual Expenditure'!K382</f>
        <v>45847</v>
      </c>
      <c r="L5" s="42">
        <f>'Annual Expenditure'!L382</f>
        <v>5</v>
      </c>
      <c r="M5" s="142"/>
      <c r="N5" s="211">
        <f>'Annual Expenditure'!N382</f>
        <v>0.6</v>
      </c>
      <c r="O5" s="67"/>
      <c r="P5" s="64" t="s">
        <v>319</v>
      </c>
    </row>
    <row r="6" spans="2:16" x14ac:dyDescent="0.3">
      <c r="B6" s="70"/>
      <c r="C6" s="28"/>
      <c r="D6" s="41" t="str">
        <f>'Annual Expenditure'!D383</f>
        <v>2025-26/042</v>
      </c>
      <c r="E6" s="124"/>
      <c r="F6" s="27" t="str">
        <f>'Annual Expenditure'!F383</f>
        <v>HMRC Cumbernaud - Employer NIC 2025/26, Q1 to 05/07/25</v>
      </c>
      <c r="G6" s="29">
        <f>'Annual Expenditure'!G383</f>
        <v>269.07</v>
      </c>
      <c r="H6" s="29">
        <f>'Annual Expenditure'!H383</f>
        <v>0</v>
      </c>
      <c r="I6" s="29">
        <f>'Annual Expenditure'!I383</f>
        <v>269.07</v>
      </c>
      <c r="J6" s="29" t="str">
        <f>'Annual Expenditure'!J383</f>
        <v>Bank Transfer</v>
      </c>
      <c r="K6" s="258">
        <f>'Annual Expenditure'!K383</f>
        <v>45847</v>
      </c>
      <c r="L6" s="42">
        <f>'Annual Expenditure'!L383</f>
        <v>2</v>
      </c>
      <c r="M6" s="136"/>
      <c r="N6" s="211">
        <f>'Annual Expenditure'!N383</f>
        <v>0.29047906415374619</v>
      </c>
      <c r="O6" s="40"/>
      <c r="P6" s="64" t="s">
        <v>256</v>
      </c>
    </row>
    <row r="7" spans="2:16" x14ac:dyDescent="0.3">
      <c r="B7" s="70"/>
      <c r="C7" s="28"/>
      <c r="D7" s="41" t="str">
        <f>'Annual Expenditure'!D384</f>
        <v>2025-26/043</v>
      </c>
      <c r="E7" s="124"/>
      <c r="F7" s="27" t="str">
        <f>'Annual Expenditure'!F384</f>
        <v>Cleaner Care Ltd - VH Clean for June</v>
      </c>
      <c r="G7" s="29">
        <f>'Annual Expenditure'!G384</f>
        <v>51.25</v>
      </c>
      <c r="H7" s="29">
        <f>'Annual Expenditure'!H384</f>
        <v>10.25</v>
      </c>
      <c r="I7" s="29">
        <f>'Annual Expenditure'!I384</f>
        <v>61.5</v>
      </c>
      <c r="J7" s="29" t="str">
        <f>'Annual Expenditure'!J384</f>
        <v>Bank Transfer</v>
      </c>
      <c r="K7" s="258">
        <f>'Annual Expenditure'!K384</f>
        <v>45847</v>
      </c>
      <c r="L7" s="42">
        <f>'Annual Expenditure'!L384</f>
        <v>22</v>
      </c>
      <c r="M7" s="136"/>
      <c r="N7" s="211">
        <f>'Annual Expenditure'!N384</f>
        <v>0.24193600000000001</v>
      </c>
      <c r="O7" s="40"/>
      <c r="P7" s="64" t="s">
        <v>257</v>
      </c>
    </row>
    <row r="8" spans="2:16" x14ac:dyDescent="0.3">
      <c r="B8" s="70"/>
      <c r="C8" s="28"/>
      <c r="D8" s="41" t="str">
        <f>'Annual Expenditure'!D385</f>
        <v>2025-26/044</v>
      </c>
      <c r="E8" s="124"/>
      <c r="F8" s="27" t="str">
        <f>'Annual Expenditure'!F385</f>
        <v>HSBC - Bank Charges, monthly account fee for June</v>
      </c>
      <c r="G8" s="29">
        <f>'Annual Expenditure'!G385</f>
        <v>5</v>
      </c>
      <c r="H8" s="29">
        <f>'Annual Expenditure'!H385</f>
        <v>0</v>
      </c>
      <c r="I8" s="29">
        <f>'Annual Expenditure'!I385</f>
        <v>5</v>
      </c>
      <c r="J8" s="29" t="str">
        <f>'Annual Expenditure'!J385</f>
        <v>Direct Payment</v>
      </c>
      <c r="K8" s="258">
        <f>'Annual Expenditure'!K385</f>
        <v>45859</v>
      </c>
      <c r="L8" s="42">
        <f>'Annual Expenditure'!L385</f>
        <v>34</v>
      </c>
      <c r="M8" s="136"/>
      <c r="N8" s="211">
        <f>'Annual Expenditure'!N385</f>
        <v>0.20800000000000002</v>
      </c>
      <c r="O8" s="40"/>
      <c r="P8" s="64" t="s">
        <v>266</v>
      </c>
    </row>
    <row r="9" spans="2:16" x14ac:dyDescent="0.3">
      <c r="B9" s="70"/>
      <c r="C9" s="28"/>
      <c r="D9" s="41" t="str">
        <f>'Annual Expenditure'!D386</f>
        <v>2025-26/045</v>
      </c>
      <c r="E9" s="124"/>
      <c r="F9" s="27" t="str">
        <f>'Annual Expenditure'!F386</f>
        <v>Clerk’s Salary for July</v>
      </c>
      <c r="G9" s="29">
        <f>'Annual Expenditure'!G386</f>
        <v>1014.94</v>
      </c>
      <c r="H9" s="29">
        <f>'Annual Expenditure'!H386</f>
        <v>0</v>
      </c>
      <c r="I9" s="29">
        <f>'Annual Expenditure'!I386</f>
        <v>1014.94</v>
      </c>
      <c r="J9" s="29" t="str">
        <f>'Annual Expenditure'!J386</f>
        <v>S/Order</v>
      </c>
      <c r="K9" s="258">
        <f>'Annual Expenditure'!K386</f>
        <v>45866</v>
      </c>
      <c r="L9" s="42">
        <f>'Annual Expenditure'!L386</f>
        <v>1</v>
      </c>
      <c r="M9" s="136"/>
      <c r="N9" s="211">
        <f>'Annual Expenditure'!N386</f>
        <v>0.31746016851406567</v>
      </c>
      <c r="O9" s="40"/>
      <c r="P9" s="64" t="s">
        <v>303</v>
      </c>
    </row>
    <row r="10" spans="2:16" x14ac:dyDescent="0.3">
      <c r="B10" s="70"/>
      <c r="C10" s="28"/>
      <c r="D10" s="41" t="str">
        <f>'Annual Expenditure'!D387</f>
        <v>2025-26/046</v>
      </c>
      <c r="E10" s="124"/>
      <c r="F10" s="27" t="str">
        <f>'Annual Expenditure'!F387</f>
        <v>Clerk’s Office Allowance for July (WFH)</v>
      </c>
      <c r="G10" s="29">
        <f>'Annual Expenditure'!G387</f>
        <v>26</v>
      </c>
      <c r="H10" s="29">
        <f>'Annual Expenditure'!H387</f>
        <v>0</v>
      </c>
      <c r="I10" s="29">
        <f>'Annual Expenditure'!I387</f>
        <v>26</v>
      </c>
      <c r="J10" s="29" t="str">
        <f>'Annual Expenditure'!J387</f>
        <v>S/Order</v>
      </c>
      <c r="K10" s="258">
        <f>'Annual Expenditure'!K387</f>
        <v>45866</v>
      </c>
      <c r="L10" s="42">
        <f>'Annual Expenditure'!L387</f>
        <v>3</v>
      </c>
      <c r="M10" s="136"/>
      <c r="N10" s="211">
        <f>'Annual Expenditure'!N387</f>
        <v>0.33333333333333331</v>
      </c>
      <c r="O10" s="40"/>
      <c r="P10" s="64" t="s">
        <v>267</v>
      </c>
    </row>
    <row r="11" spans="2:16" x14ac:dyDescent="0.3">
      <c r="B11" s="149"/>
      <c r="C11" s="71"/>
      <c r="D11" s="41" t="str">
        <f>'Annual Expenditure'!D388</f>
        <v>2025-26/047</v>
      </c>
      <c r="E11" s="125"/>
      <c r="F11" s="27" t="str">
        <f>'Annual Expenditure'!F388</f>
        <v>Dŵr Cymru - VH usage 16/12/24 to 30/06/25</v>
      </c>
      <c r="G11" s="29">
        <f>'Annual Expenditure'!G388</f>
        <v>102.7</v>
      </c>
      <c r="H11" s="29">
        <f>'Annual Expenditure'!H388</f>
        <v>0</v>
      </c>
      <c r="I11" s="29">
        <f>'Annual Expenditure'!I388</f>
        <v>102.7</v>
      </c>
      <c r="J11" s="29" t="str">
        <f>'Annual Expenditure'!J388</f>
        <v>Bank Transfer</v>
      </c>
      <c r="K11" s="258">
        <f>'Annual Expenditure'!K388</f>
        <v>45847</v>
      </c>
      <c r="L11" s="42">
        <f>'Annual Expenditure'!L388</f>
        <v>22</v>
      </c>
      <c r="M11" s="137"/>
      <c r="N11" s="211">
        <f>'Annual Expenditure'!N388</f>
        <v>0.28301600000000005</v>
      </c>
      <c r="O11" s="40"/>
      <c r="P11" s="64" t="s">
        <v>304</v>
      </c>
    </row>
    <row r="12" spans="2:16" x14ac:dyDescent="0.3">
      <c r="B12" s="149"/>
      <c r="C12" s="71"/>
      <c r="D12" s="41" t="str">
        <f>'Annual Expenditure'!D389</f>
        <v>2025-26/048</v>
      </c>
      <c r="E12" s="125"/>
      <c r="F12" s="27" t="str">
        <f>'Annual Expenditure'!F389</f>
        <v>Rob Duncalf - Cemetery strimming for June</v>
      </c>
      <c r="G12" s="29">
        <f>'Annual Expenditure'!G389</f>
        <v>250</v>
      </c>
      <c r="H12" s="29">
        <f>'Annual Expenditure'!H389</f>
        <v>0</v>
      </c>
      <c r="I12" s="29">
        <f>'Annual Expenditure'!I389</f>
        <v>250</v>
      </c>
      <c r="J12" s="29" t="str">
        <f>'Annual Expenditure'!J389</f>
        <v>Bank Transfer</v>
      </c>
      <c r="K12" s="258">
        <f>'Annual Expenditure'!K389</f>
        <v>45847</v>
      </c>
      <c r="L12" s="42">
        <f>'Annual Expenditure'!L389</f>
        <v>17</v>
      </c>
      <c r="M12" s="137"/>
      <c r="N12" s="211">
        <f>'Annual Expenditure'!N389</f>
        <v>0.39344262295081966</v>
      </c>
      <c r="O12" s="40"/>
      <c r="P12" s="64" t="s">
        <v>510</v>
      </c>
    </row>
    <row r="13" spans="2:16" x14ac:dyDescent="0.3">
      <c r="B13" s="149"/>
      <c r="C13" s="71"/>
      <c r="D13" s="41" t="str">
        <f>'Annual Expenditure'!D390</f>
        <v>2025-26/049</v>
      </c>
      <c r="E13" s="125"/>
      <c r="F13" s="27" t="str">
        <f>'Annual Expenditure'!F390</f>
        <v>I Bowen - Reimbursement, diesel for recreation field cutting</v>
      </c>
      <c r="G13" s="29">
        <f>'Annual Expenditure'!G390</f>
        <v>42.25</v>
      </c>
      <c r="H13" s="29">
        <f>'Annual Expenditure'!H390</f>
        <v>0</v>
      </c>
      <c r="I13" s="29">
        <f>'Annual Expenditure'!I390</f>
        <v>42.25</v>
      </c>
      <c r="J13" s="29" t="str">
        <f>'Annual Expenditure'!J390</f>
        <v>Bank Transfer</v>
      </c>
      <c r="K13" s="258">
        <f>'Annual Expenditure'!K390</f>
        <v>45847</v>
      </c>
      <c r="L13" s="42">
        <f>'Annual Expenditure'!L390</f>
        <v>15</v>
      </c>
      <c r="M13" s="137"/>
      <c r="N13" s="211">
        <f>'Annual Expenditure'!N390</f>
        <v>0.10670289855072464</v>
      </c>
      <c r="O13" s="40"/>
      <c r="P13" s="64" t="s">
        <v>305</v>
      </c>
    </row>
    <row r="14" spans="2:16" ht="13.5" thickBot="1" x14ac:dyDescent="0.35">
      <c r="B14" s="149"/>
      <c r="C14" s="68"/>
      <c r="D14" s="60"/>
      <c r="E14" s="122"/>
      <c r="F14" s="35"/>
      <c r="G14" s="36">
        <f>SUM(G4:G13)</f>
        <v>1914.16</v>
      </c>
      <c r="H14" s="36">
        <f t="shared" ref="H14:I14" si="0">SUM(H4:H13)</f>
        <v>40.840000000000003</v>
      </c>
      <c r="I14" s="36">
        <f t="shared" si="0"/>
        <v>1955.0000000000002</v>
      </c>
      <c r="J14" s="69"/>
      <c r="K14" s="68"/>
      <c r="L14" s="42"/>
      <c r="M14" s="138"/>
      <c r="N14" s="62"/>
      <c r="O14" s="40"/>
      <c r="P14" s="64" t="s">
        <v>306</v>
      </c>
    </row>
    <row r="15" spans="2:16" ht="26.5" thickBot="1" x14ac:dyDescent="0.35">
      <c r="B15" s="179"/>
      <c r="C15" s="210" t="s">
        <v>263</v>
      </c>
      <c r="D15" s="181" t="s">
        <v>1</v>
      </c>
      <c r="E15" s="182" t="s">
        <v>244</v>
      </c>
      <c r="F15" s="180" t="s">
        <v>243</v>
      </c>
      <c r="G15" s="183" t="s">
        <v>229</v>
      </c>
      <c r="H15" s="183" t="s">
        <v>222</v>
      </c>
      <c r="I15" s="183" t="s">
        <v>230</v>
      </c>
      <c r="J15" s="202" t="s">
        <v>262</v>
      </c>
      <c r="K15" s="184" t="s">
        <v>231</v>
      </c>
      <c r="L15" s="183" t="s">
        <v>238</v>
      </c>
      <c r="M15" s="185" t="s">
        <v>259</v>
      </c>
      <c r="N15" s="349" t="s">
        <v>249</v>
      </c>
      <c r="O15" s="40"/>
      <c r="P15" s="64" t="s">
        <v>307</v>
      </c>
    </row>
    <row r="16" spans="2:16" x14ac:dyDescent="0.3">
      <c r="B16" s="95">
        <v>45870</v>
      </c>
      <c r="C16" s="97">
        <f>'Annual Expenditure'!C393</f>
        <v>45873</v>
      </c>
      <c r="D16" s="97" t="str">
        <f>'Annual Expenditure'!D393</f>
        <v>2025-26/050</v>
      </c>
      <c r="E16" s="354"/>
      <c r="F16" s="97" t="str">
        <f>'Annual Expenditure'!F393</f>
        <v>BT plc - V/Hall Wi-fi, July charges</v>
      </c>
      <c r="G16" s="52">
        <f>'Annual Expenditure'!G393</f>
        <v>32.950000000000003</v>
      </c>
      <c r="H16" s="52">
        <f>'Annual Expenditure'!H393</f>
        <v>6.59</v>
      </c>
      <c r="I16" s="52">
        <f>'Annual Expenditure'!I393</f>
        <v>39.540000000000006</v>
      </c>
      <c r="J16" s="52" t="str">
        <f>'Annual Expenditure'!J393</f>
        <v>Direct Debit</v>
      </c>
      <c r="K16" s="258">
        <f>'Annual Expenditure'!K393</f>
        <v>45873</v>
      </c>
      <c r="L16" s="193">
        <f>'Annual Expenditure'!L393</f>
        <v>22</v>
      </c>
      <c r="M16" s="97"/>
      <c r="N16" s="211">
        <f>'Annual Expenditure'!N393</f>
        <v>0.29619600000000007</v>
      </c>
      <c r="O16" s="40"/>
      <c r="P16" s="64" t="s">
        <v>308</v>
      </c>
    </row>
    <row r="17" spans="2:16" x14ac:dyDescent="0.3">
      <c r="B17" s="32"/>
      <c r="C17" s="97">
        <f>'Annual Expenditure'!C394</f>
        <v>45875</v>
      </c>
      <c r="D17" s="97" t="str">
        <f>'Annual Expenditure'!D394</f>
        <v>2025-26/051</v>
      </c>
      <c r="E17" s="275"/>
      <c r="F17" s="97" t="str">
        <f>'Annual Expenditure'!F394</f>
        <v>OVO Energy Ltd - VH electricity usage, 07/06/25 to 06/07/25</v>
      </c>
      <c r="G17" s="52">
        <f>'Annual Expenditure'!G394</f>
        <v>14.23</v>
      </c>
      <c r="H17" s="52">
        <f>'Annual Expenditure'!H394</f>
        <v>0.71</v>
      </c>
      <c r="I17" s="52">
        <f>'Annual Expenditure'!I394</f>
        <v>14.940000000000001</v>
      </c>
      <c r="J17" s="52" t="str">
        <f>'Annual Expenditure'!J394</f>
        <v>Debit Card</v>
      </c>
      <c r="K17" s="258">
        <f>'Annual Expenditure'!K394</f>
        <v>45876</v>
      </c>
      <c r="L17" s="193">
        <f>'Annual Expenditure'!L394</f>
        <v>22</v>
      </c>
      <c r="M17" s="136"/>
      <c r="N17" s="211">
        <f>'Annual Expenditure'!N394</f>
        <v>0.30188800000000005</v>
      </c>
      <c r="O17" s="40"/>
      <c r="P17" s="64" t="s">
        <v>239</v>
      </c>
    </row>
    <row r="18" spans="2:16" x14ac:dyDescent="0.3">
      <c r="B18" s="32"/>
      <c r="C18" s="97">
        <f>'Annual Expenditure'!C395</f>
        <v>45888</v>
      </c>
      <c r="D18" s="97" t="str">
        <f>'Annual Expenditure'!D395</f>
        <v>2025-26/052</v>
      </c>
      <c r="E18" s="275"/>
      <c r="F18" s="97" t="str">
        <f>'Annual Expenditure'!F395</f>
        <v>Iona Edwards Cyf - Audit Services for 2025/26</v>
      </c>
      <c r="G18" s="52">
        <f>'Annual Expenditure'!G395</f>
        <v>50</v>
      </c>
      <c r="H18" s="52">
        <f>'Annual Expenditure'!H395</f>
        <v>10</v>
      </c>
      <c r="I18" s="52">
        <f>'Annual Expenditure'!I395</f>
        <v>60</v>
      </c>
      <c r="J18" s="52" t="str">
        <f>'Annual Expenditure'!J395</f>
        <v>Bank Transfer</v>
      </c>
      <c r="K18" s="258">
        <f>'Annual Expenditure'!K395</f>
        <v>45888</v>
      </c>
      <c r="L18" s="193">
        <f>'Annual Expenditure'!L395</f>
        <v>13</v>
      </c>
      <c r="M18" s="136"/>
      <c r="N18" s="211">
        <f>'Annual Expenditure'!N395</f>
        <v>6.25E-2</v>
      </c>
      <c r="O18" s="40"/>
      <c r="P18" s="64" t="s">
        <v>309</v>
      </c>
    </row>
    <row r="19" spans="2:16" x14ac:dyDescent="0.3">
      <c r="B19" s="32"/>
      <c r="C19" s="97">
        <f>'Annual Expenditure'!C396</f>
        <v>45888</v>
      </c>
      <c r="D19" s="97" t="str">
        <f>'Annual Expenditure'!D396</f>
        <v>2025-26/053</v>
      </c>
      <c r="E19" s="275"/>
      <c r="F19" s="97" t="str">
        <f>'Annual Expenditure'!F396</f>
        <v>Rob Duncalf - Cemetery Extension Cut for July</v>
      </c>
      <c r="G19" s="52">
        <f>'Annual Expenditure'!G396</f>
        <v>400</v>
      </c>
      <c r="H19" s="52">
        <f>'Annual Expenditure'!H396</f>
        <v>0</v>
      </c>
      <c r="I19" s="52">
        <f>'Annual Expenditure'!I396</f>
        <v>400</v>
      </c>
      <c r="J19" s="52" t="str">
        <f>'Annual Expenditure'!J396</f>
        <v>Bank Transfer</v>
      </c>
      <c r="K19" s="258">
        <f>'Annual Expenditure'!K396</f>
        <v>45888</v>
      </c>
      <c r="L19" s="193">
        <f>'Annual Expenditure'!L396</f>
        <v>17</v>
      </c>
      <c r="M19" s="142"/>
      <c r="N19" s="211">
        <f>'Annual Expenditure'!N396</f>
        <v>0.52459016393442626</v>
      </c>
      <c r="O19" s="40"/>
      <c r="P19" s="64" t="s">
        <v>240</v>
      </c>
    </row>
    <row r="20" spans="2:16" x14ac:dyDescent="0.3">
      <c r="B20" s="32"/>
      <c r="C20" s="97">
        <f>'Annual Expenditure'!C397</f>
        <v>45888</v>
      </c>
      <c r="D20" s="97" t="str">
        <f>'Annual Expenditure'!D397</f>
        <v>2025-26/054</v>
      </c>
      <c r="E20" s="275"/>
      <c r="F20" s="97" t="str">
        <f>'Annual Expenditure'!F397</f>
        <v>Rob Duncalf - Main Cemetery strimming for July</v>
      </c>
      <c r="G20" s="52">
        <f>'Annual Expenditure'!G397</f>
        <v>250</v>
      </c>
      <c r="H20" s="52">
        <f>'Annual Expenditure'!H397</f>
        <v>0</v>
      </c>
      <c r="I20" s="52">
        <f>'Annual Expenditure'!I397</f>
        <v>250</v>
      </c>
      <c r="J20" s="52" t="str">
        <f>'Annual Expenditure'!J397</f>
        <v>Bank Transfer</v>
      </c>
      <c r="K20" s="258">
        <f>'Annual Expenditure'!K397</f>
        <v>45888</v>
      </c>
      <c r="L20" s="193">
        <f>'Annual Expenditure'!L397</f>
        <v>17</v>
      </c>
      <c r="M20" s="135"/>
      <c r="N20" s="211">
        <f>'Annual Expenditure'!N397</f>
        <v>0.60655737704918034</v>
      </c>
      <c r="O20" s="40"/>
      <c r="P20" s="64" t="s">
        <v>310</v>
      </c>
    </row>
    <row r="21" spans="2:16" x14ac:dyDescent="0.3">
      <c r="B21" s="72"/>
      <c r="C21" s="97">
        <f>'Annual Expenditure'!C398</f>
        <v>45888</v>
      </c>
      <c r="D21" s="97" t="str">
        <f>'Annual Expenditure'!D398</f>
        <v>2025-26/055</v>
      </c>
      <c r="E21" s="275"/>
      <c r="F21" s="97" t="str">
        <f>'Annual Expenditure'!F398</f>
        <v>Dale Wilder Plant &amp; Tool Hire - Mower hire for recreation fields</v>
      </c>
      <c r="G21" s="52">
        <f>'Annual Expenditure'!G398</f>
        <v>150</v>
      </c>
      <c r="H21" s="52">
        <f>'Annual Expenditure'!H398</f>
        <v>30</v>
      </c>
      <c r="I21" s="52">
        <f>'Annual Expenditure'!I398</f>
        <v>180</v>
      </c>
      <c r="J21" s="52" t="str">
        <f>'Annual Expenditure'!J398</f>
        <v>Bank Transfer</v>
      </c>
      <c r="K21" s="258">
        <f>'Annual Expenditure'!K398</f>
        <v>45888</v>
      </c>
      <c r="L21" s="193">
        <f>'Annual Expenditure'!L398</f>
        <v>15</v>
      </c>
      <c r="M21" s="140"/>
      <c r="N21" s="211">
        <f>'Annual Expenditure'!N398</f>
        <v>0.21539855072463768</v>
      </c>
      <c r="O21" s="40"/>
      <c r="P21" s="64" t="s">
        <v>511</v>
      </c>
    </row>
    <row r="22" spans="2:16" x14ac:dyDescent="0.3">
      <c r="B22" s="72"/>
      <c r="C22" s="97">
        <f>'Annual Expenditure'!C399</f>
        <v>45888</v>
      </c>
      <c r="D22" s="97" t="str">
        <f>'Annual Expenditure'!D399</f>
        <v>2025-26/056</v>
      </c>
      <c r="E22" s="275"/>
      <c r="F22" s="97" t="str">
        <f>'Annual Expenditure'!F399</f>
        <v>OVO Energy Ltd - VH electricity usage, 07/07/25 to 06/08/25</v>
      </c>
      <c r="G22" s="52">
        <f>'Annual Expenditure'!G399</f>
        <v>31.83</v>
      </c>
      <c r="H22" s="52">
        <f>'Annual Expenditure'!H399</f>
        <v>1.59</v>
      </c>
      <c r="I22" s="52">
        <f>'Annual Expenditure'!I399</f>
        <v>33.42</v>
      </c>
      <c r="J22" s="52" t="str">
        <f>'Annual Expenditure'!J399</f>
        <v>Bank Transfer</v>
      </c>
      <c r="K22" s="258">
        <f>'Annual Expenditure'!K399</f>
        <v>45888</v>
      </c>
      <c r="L22" s="193">
        <f>'Annual Expenditure'!L399</f>
        <v>22</v>
      </c>
      <c r="M22" s="140"/>
      <c r="N22" s="211">
        <f>'Annual Expenditure'!N399</f>
        <v>0.31462000000000007</v>
      </c>
      <c r="O22" s="40"/>
      <c r="P22" s="64" t="s">
        <v>311</v>
      </c>
    </row>
    <row r="23" spans="2:16" x14ac:dyDescent="0.3">
      <c r="B23" s="72"/>
      <c r="C23" s="97">
        <f>'Annual Expenditure'!C400</f>
        <v>45890</v>
      </c>
      <c r="D23" s="97" t="str">
        <f>'Annual Expenditure'!D400</f>
        <v>2025-26/057</v>
      </c>
      <c r="E23" s="275"/>
      <c r="F23" s="97" t="str">
        <f>'Annual Expenditure'!F400</f>
        <v>HSBC - Bank Charges, monthly account fee for July</v>
      </c>
      <c r="G23" s="52">
        <f>'Annual Expenditure'!G400</f>
        <v>5.4</v>
      </c>
      <c r="H23" s="52">
        <f>'Annual Expenditure'!H400</f>
        <v>0</v>
      </c>
      <c r="I23" s="52">
        <f>'Annual Expenditure'!I400</f>
        <v>5.4</v>
      </c>
      <c r="J23" s="52" t="str">
        <f>'Annual Expenditure'!J400</f>
        <v>Direct Payment</v>
      </c>
      <c r="K23" s="258">
        <f>'Annual Expenditure'!K400</f>
        <v>45890</v>
      </c>
      <c r="L23" s="193">
        <f>'Annual Expenditure'!L400</f>
        <v>34</v>
      </c>
      <c r="M23" s="140"/>
      <c r="N23" s="211">
        <f>'Annual Expenditure'!N400</f>
        <v>0.26200000000000001</v>
      </c>
      <c r="O23" s="67"/>
      <c r="P23" s="64" t="s">
        <v>312</v>
      </c>
    </row>
    <row r="24" spans="2:16" x14ac:dyDescent="0.3">
      <c r="B24" s="72"/>
      <c r="C24" s="97">
        <f>'Annual Expenditure'!C401</f>
        <v>45898</v>
      </c>
      <c r="D24" s="97" t="str">
        <f>'Annual Expenditure'!D401</f>
        <v>2025-26/058</v>
      </c>
      <c r="E24" s="275"/>
      <c r="F24" s="97" t="str">
        <f>'Annual Expenditure'!F401</f>
        <v>Clerk’s Salary for August</v>
      </c>
      <c r="G24" s="52">
        <f>'Annual Expenditure'!G401</f>
        <v>1014.94</v>
      </c>
      <c r="H24" s="52">
        <f>'Annual Expenditure'!H401</f>
        <v>0</v>
      </c>
      <c r="I24" s="52">
        <f>'Annual Expenditure'!I401</f>
        <v>1014.94</v>
      </c>
      <c r="J24" s="52" t="str">
        <f>'Annual Expenditure'!J401</f>
        <v>S/Order</v>
      </c>
      <c r="K24" s="258">
        <f>'Annual Expenditure'!K401</f>
        <v>45897</v>
      </c>
      <c r="L24" s="193">
        <f>'Annual Expenditure'!L401</f>
        <v>1</v>
      </c>
      <c r="M24" s="140"/>
      <c r="N24" s="211">
        <f>'Annual Expenditure'!N401</f>
        <v>0.39682521064258214</v>
      </c>
      <c r="O24" s="40"/>
      <c r="P24" s="64" t="s">
        <v>268</v>
      </c>
    </row>
    <row r="25" spans="2:16" x14ac:dyDescent="0.3">
      <c r="B25" s="72"/>
      <c r="C25" s="97">
        <f>'Annual Expenditure'!C402</f>
        <v>45898</v>
      </c>
      <c r="D25" s="97" t="str">
        <f>'Annual Expenditure'!D402</f>
        <v>2025-26/059</v>
      </c>
      <c r="E25" s="275"/>
      <c r="F25" s="97" t="str">
        <f>'Annual Expenditure'!F402</f>
        <v>Clerk’s Office Allowance for August (WFH)</v>
      </c>
      <c r="G25" s="52">
        <f>'Annual Expenditure'!G402</f>
        <v>26</v>
      </c>
      <c r="H25" s="52">
        <f>'Annual Expenditure'!H402</f>
        <v>0</v>
      </c>
      <c r="I25" s="52">
        <f>'Annual Expenditure'!I402</f>
        <v>26</v>
      </c>
      <c r="J25" s="52" t="str">
        <f>'Annual Expenditure'!J402</f>
        <v>S/Order</v>
      </c>
      <c r="K25" s="258">
        <f>'Annual Expenditure'!K402</f>
        <v>45897</v>
      </c>
      <c r="L25" s="193">
        <f>'Annual Expenditure'!L402</f>
        <v>3</v>
      </c>
      <c r="M25" s="140"/>
      <c r="N25" s="211">
        <f>'Annual Expenditure'!N402</f>
        <v>0.41666666666666669</v>
      </c>
      <c r="O25" s="40"/>
      <c r="P25" s="266" t="s">
        <v>313</v>
      </c>
    </row>
    <row r="26" spans="2:16" ht="13.5" thickBot="1" x14ac:dyDescent="0.35">
      <c r="B26" s="72"/>
      <c r="C26" s="97"/>
      <c r="D26" s="73"/>
      <c r="E26" s="125"/>
      <c r="F26" s="74"/>
      <c r="G26" s="75">
        <f>SUM(G16:G25)</f>
        <v>1975.3500000000001</v>
      </c>
      <c r="H26" s="75">
        <f>SUM(H16:H25)</f>
        <v>48.89</v>
      </c>
      <c r="I26" s="75">
        <f>SUM(I16:I25)</f>
        <v>2024.24</v>
      </c>
      <c r="J26" s="75"/>
      <c r="K26" s="71"/>
      <c r="L26" s="77"/>
      <c r="M26" s="137"/>
      <c r="N26" s="78"/>
      <c r="O26" s="40"/>
      <c r="P26" s="64" t="s">
        <v>241</v>
      </c>
    </row>
    <row r="27" spans="2:16" ht="26.5" thickBot="1" x14ac:dyDescent="0.35">
      <c r="B27" s="179"/>
      <c r="C27" s="210" t="s">
        <v>263</v>
      </c>
      <c r="D27" s="181" t="s">
        <v>1</v>
      </c>
      <c r="E27" s="182" t="s">
        <v>244</v>
      </c>
      <c r="F27" s="180" t="s">
        <v>243</v>
      </c>
      <c r="G27" s="183" t="s">
        <v>229</v>
      </c>
      <c r="H27" s="183" t="s">
        <v>222</v>
      </c>
      <c r="I27" s="183" t="s">
        <v>230</v>
      </c>
      <c r="J27" s="202" t="s">
        <v>262</v>
      </c>
      <c r="K27" s="184" t="s">
        <v>231</v>
      </c>
      <c r="L27" s="183" t="s">
        <v>238</v>
      </c>
      <c r="M27" s="183" t="s">
        <v>259</v>
      </c>
      <c r="N27" s="370" t="s">
        <v>249</v>
      </c>
      <c r="O27" s="40"/>
      <c r="P27" s="64" t="s">
        <v>314</v>
      </c>
    </row>
    <row r="28" spans="2:16" x14ac:dyDescent="0.3">
      <c r="B28" s="95">
        <v>45901</v>
      </c>
      <c r="C28" s="355">
        <f>'Annual Expenditure'!C405</f>
        <v>45904</v>
      </c>
      <c r="D28" s="355" t="str">
        <f>'Annual Expenditure'!D405</f>
        <v>2025-26/060</v>
      </c>
      <c r="E28" s="284">
        <f>'Annual Expenditure'!E405</f>
        <v>93.2</v>
      </c>
      <c r="F28" s="300" t="str">
        <f>'Annual Expenditure'!F405</f>
        <v>BT plc - V/Hall Wi-fi, August charges</v>
      </c>
      <c r="G28" s="314">
        <f>'Annual Expenditure'!G405</f>
        <v>32.950000000000003</v>
      </c>
      <c r="H28" s="314">
        <f>'Annual Expenditure'!H405</f>
        <v>6.59</v>
      </c>
      <c r="I28" s="314">
        <f>'Annual Expenditure'!I405</f>
        <v>39.54</v>
      </c>
      <c r="J28" s="355" t="str">
        <f>'Annual Expenditure'!J405</f>
        <v>Direct Debit</v>
      </c>
      <c r="K28" s="372">
        <f>'Annual Expenditure'!K405</f>
        <v>45904</v>
      </c>
      <c r="L28" s="356">
        <f>'Annual Expenditure'!L405</f>
        <v>22</v>
      </c>
      <c r="M28" s="300"/>
      <c r="N28" s="317">
        <f>'Annual Expenditure'!N405</f>
        <v>0.32780000000000009</v>
      </c>
      <c r="O28" s="40"/>
      <c r="P28" s="64" t="s">
        <v>242</v>
      </c>
    </row>
    <row r="29" spans="2:16" x14ac:dyDescent="0.3">
      <c r="B29" s="33"/>
      <c r="C29" s="355">
        <f>'Annual Expenditure'!C406</f>
        <v>45910</v>
      </c>
      <c r="D29" s="355" t="str">
        <f>'Annual Expenditure'!D406</f>
        <v>2025-26/061</v>
      </c>
      <c r="E29" s="284">
        <f>'Annual Expenditure'!E406</f>
        <v>93.2</v>
      </c>
      <c r="F29" s="300" t="str">
        <f>'Annual Expenditure'!F406</f>
        <v>V Teasdale - Reimbursement, courier fee for files to Audit Wales</v>
      </c>
      <c r="G29" s="314">
        <f>'Annual Expenditure'!G406</f>
        <v>19.55</v>
      </c>
      <c r="H29" s="314">
        <f>'Annual Expenditure'!H406</f>
        <v>0</v>
      </c>
      <c r="I29" s="314">
        <f>'Annual Expenditure'!I406</f>
        <v>19.55</v>
      </c>
      <c r="J29" s="355" t="str">
        <f>'Annual Expenditure'!J406</f>
        <v>Bank Transfer</v>
      </c>
      <c r="K29" s="372">
        <f>'Annual Expenditure'!K406</f>
        <v>45910</v>
      </c>
      <c r="L29" s="356">
        <f>'Annual Expenditure'!L406</f>
        <v>13</v>
      </c>
      <c r="M29" s="300"/>
      <c r="N29" s="317">
        <f>'Annual Expenditure'!N406</f>
        <v>4.346875E-2</v>
      </c>
      <c r="O29" s="40"/>
      <c r="P29" s="64" t="s">
        <v>272</v>
      </c>
    </row>
    <row r="30" spans="2:16" x14ac:dyDescent="0.3">
      <c r="B30" s="32"/>
      <c r="C30" s="355">
        <f>'Annual Expenditure'!C407</f>
        <v>45910</v>
      </c>
      <c r="D30" s="355" t="str">
        <f>'Annual Expenditure'!D407</f>
        <v>2025-26/062</v>
      </c>
      <c r="E30" s="284">
        <f>'Annual Expenditure'!E407</f>
        <v>93.2</v>
      </c>
      <c r="F30" s="300" t="str">
        <f>'Annual Expenditure'!F407</f>
        <v>SLCC - Clerk's Membership Fee 2025/26</v>
      </c>
      <c r="G30" s="314">
        <f>'Annual Expenditure'!G407</f>
        <v>190</v>
      </c>
      <c r="H30" s="314">
        <f>'Annual Expenditure'!H407</f>
        <v>0</v>
      </c>
      <c r="I30" s="314">
        <f>'Annual Expenditure'!I407</f>
        <v>190</v>
      </c>
      <c r="J30" s="355" t="str">
        <f>'Annual Expenditure'!J407</f>
        <v>Bank Transfer</v>
      </c>
      <c r="K30" s="372">
        <f>'Annual Expenditure'!K407</f>
        <v>45910</v>
      </c>
      <c r="L30" s="356">
        <f>'Annual Expenditure'!L407</f>
        <v>10</v>
      </c>
      <c r="M30" s="300"/>
      <c r="N30" s="371">
        <f>'Annual Expenditure'!N407</f>
        <v>0.90394088669950734</v>
      </c>
      <c r="O30" s="40"/>
      <c r="P30" s="64" t="s">
        <v>315</v>
      </c>
    </row>
    <row r="31" spans="2:16" x14ac:dyDescent="0.3">
      <c r="B31" s="32"/>
      <c r="C31" s="355">
        <f>'Annual Expenditure'!C408</f>
        <v>45910</v>
      </c>
      <c r="D31" s="355" t="str">
        <f>'Annual Expenditure'!D408</f>
        <v>2025-26/063</v>
      </c>
      <c r="E31" s="284">
        <f>'Annual Expenditure'!E408</f>
        <v>93.2</v>
      </c>
      <c r="F31" s="300" t="str">
        <f>'Annual Expenditure'!F408</f>
        <v>V Teasdale - Reimbursement, printing contract, Feb to Aug 2025</v>
      </c>
      <c r="G31" s="314">
        <f>'Annual Expenditure'!G408</f>
        <v>63.69</v>
      </c>
      <c r="H31" s="314">
        <f>'Annual Expenditure'!H408</f>
        <v>12.75</v>
      </c>
      <c r="I31" s="314">
        <f>'Annual Expenditure'!I408</f>
        <v>76.44</v>
      </c>
      <c r="J31" s="355" t="str">
        <f>'Annual Expenditure'!J408</f>
        <v>Bank Transfer</v>
      </c>
      <c r="K31" s="372">
        <f>'Annual Expenditure'!K408</f>
        <v>45910</v>
      </c>
      <c r="L31" s="356">
        <f>'Annual Expenditure'!L408</f>
        <v>6</v>
      </c>
      <c r="M31" s="300"/>
      <c r="N31" s="317">
        <f>'Annual Expenditure'!N408</f>
        <v>0.18197142857142856</v>
      </c>
      <c r="O31" s="40"/>
      <c r="P31" s="64" t="s">
        <v>320</v>
      </c>
    </row>
    <row r="32" spans="2:16" x14ac:dyDescent="0.3">
      <c r="B32" s="32"/>
      <c r="C32" s="355">
        <f>'Annual Expenditure'!C409</f>
        <v>45910</v>
      </c>
      <c r="D32" s="355" t="str">
        <f>'Annual Expenditure'!D409</f>
        <v>2025-26/064</v>
      </c>
      <c r="E32" s="284">
        <f>'Annual Expenditure'!E409</f>
        <v>93.2</v>
      </c>
      <c r="F32" s="300" t="str">
        <f>'Annual Expenditure'!F409</f>
        <v>V Teasdale - Reimbursement, TCC mobile phone, Mar to Aug 2025</v>
      </c>
      <c r="G32" s="314">
        <f>'Annual Expenditure'!G409</f>
        <v>60.96</v>
      </c>
      <c r="H32" s="314">
        <f>'Annual Expenditure'!H409</f>
        <v>0</v>
      </c>
      <c r="I32" s="314">
        <f>'Annual Expenditure'!I409</f>
        <v>60.96</v>
      </c>
      <c r="J32" s="355" t="str">
        <f>'Annual Expenditure'!J409</f>
        <v>Bank Transfer</v>
      </c>
      <c r="K32" s="372">
        <f>'Annual Expenditure'!K409</f>
        <v>45910</v>
      </c>
      <c r="L32" s="356">
        <f>'Annual Expenditure'!L409</f>
        <v>6</v>
      </c>
      <c r="M32" s="300"/>
      <c r="N32" s="317">
        <f>'Annual Expenditure'!N409</f>
        <v>0.35614285714285715</v>
      </c>
      <c r="P32" s="64" t="s">
        <v>316</v>
      </c>
    </row>
    <row r="33" spans="2:16" x14ac:dyDescent="0.3">
      <c r="B33" s="32"/>
      <c r="C33" s="355">
        <f>'Annual Expenditure'!C410</f>
        <v>45910</v>
      </c>
      <c r="D33" s="355" t="str">
        <f>'Annual Expenditure'!D410</f>
        <v>2025-26/065</v>
      </c>
      <c r="E33" s="284">
        <f>'Annual Expenditure'!E410</f>
        <v>93.2</v>
      </c>
      <c r="F33" s="300" t="str">
        <f>'Annual Expenditure'!F410</f>
        <v>Rob Duncalf - Main Cemetery strimming/path spraying for August</v>
      </c>
      <c r="G33" s="314">
        <f>'Annual Expenditure'!G410</f>
        <v>300</v>
      </c>
      <c r="H33" s="314">
        <f>'Annual Expenditure'!H410</f>
        <v>0</v>
      </c>
      <c r="I33" s="314">
        <f>'Annual Expenditure'!I410</f>
        <v>300</v>
      </c>
      <c r="J33" s="355" t="str">
        <f>'Annual Expenditure'!J410</f>
        <v>Bank Transfer</v>
      </c>
      <c r="K33" s="372">
        <f>'Annual Expenditure'!K410</f>
        <v>45910</v>
      </c>
      <c r="L33" s="356">
        <f>'Annual Expenditure'!L410</f>
        <v>17</v>
      </c>
      <c r="M33" s="300"/>
      <c r="N33" s="317">
        <f>'Annual Expenditure'!N410</f>
        <v>0.70491803278688525</v>
      </c>
      <c r="P33" s="64" t="s">
        <v>518</v>
      </c>
    </row>
    <row r="34" spans="2:16" x14ac:dyDescent="0.3">
      <c r="B34" s="32"/>
      <c r="C34" s="355">
        <f>'Annual Expenditure'!C411</f>
        <v>45912</v>
      </c>
      <c r="D34" s="355" t="str">
        <f>'Annual Expenditure'!D411</f>
        <v>2025-26/066</v>
      </c>
      <c r="E34" s="284">
        <f>'Annual Expenditure'!E411</f>
        <v>93.2</v>
      </c>
      <c r="F34" s="300" t="str">
        <f>'Annual Expenditure'!F411</f>
        <v>Amazon - Replacement VH Parking Post Set</v>
      </c>
      <c r="G34" s="314">
        <f>'Annual Expenditure'!G411</f>
        <v>26.66</v>
      </c>
      <c r="H34" s="314">
        <f>'Annual Expenditure'!H411</f>
        <v>5.33</v>
      </c>
      <c r="I34" s="314">
        <f>'Annual Expenditure'!I411</f>
        <v>31.990000000000002</v>
      </c>
      <c r="J34" s="355" t="str">
        <f>'Annual Expenditure'!J411</f>
        <v>Debit Card</v>
      </c>
      <c r="K34" s="372">
        <f>'Annual Expenditure'!K411</f>
        <v>45912</v>
      </c>
      <c r="L34" s="356">
        <f>'Annual Expenditure'!L411</f>
        <v>21</v>
      </c>
      <c r="M34" s="300"/>
      <c r="N34" s="317">
        <f>'Annual Expenditure'!N411</f>
        <v>2.666E-2</v>
      </c>
      <c r="P34" s="64" t="s">
        <v>258</v>
      </c>
    </row>
    <row r="35" spans="2:16" x14ac:dyDescent="0.3">
      <c r="B35" s="32"/>
      <c r="C35" s="355">
        <f>'Annual Expenditure'!C412</f>
        <v>45910</v>
      </c>
      <c r="D35" s="355" t="str">
        <f>'Annual Expenditure'!D412</f>
        <v>2025-26/067</v>
      </c>
      <c r="E35" s="284">
        <f>'Annual Expenditure'!E412</f>
        <v>93.2</v>
      </c>
      <c r="F35" s="300" t="str">
        <f>'Annual Expenditure'!F412</f>
        <v>Cyfieithu Cymunedol Cyf - Translation of Summer Newsletter</v>
      </c>
      <c r="G35" s="314">
        <f>'Annual Expenditure'!G412</f>
        <v>35.78</v>
      </c>
      <c r="H35" s="314">
        <f>'Annual Expenditure'!H412</f>
        <v>7.15</v>
      </c>
      <c r="I35" s="314">
        <f>'Annual Expenditure'!I412</f>
        <v>42.93</v>
      </c>
      <c r="J35" s="355" t="str">
        <f>'Annual Expenditure'!J412</f>
        <v>Bank Transfer</v>
      </c>
      <c r="K35" s="372">
        <f>'Annual Expenditure'!K412</f>
        <v>45910</v>
      </c>
      <c r="L35" s="356">
        <f>'Annual Expenditure'!L412</f>
        <v>8</v>
      </c>
      <c r="M35" s="300"/>
      <c r="N35" s="317">
        <f>'Annual Expenditure'!N412</f>
        <v>0.56352272727272734</v>
      </c>
      <c r="P35" s="64" t="s">
        <v>317</v>
      </c>
    </row>
    <row r="36" spans="2:16" x14ac:dyDescent="0.3">
      <c r="B36" s="32"/>
      <c r="C36" s="355">
        <f>'Annual Expenditure'!C413</f>
        <v>45910</v>
      </c>
      <c r="D36" s="355" t="str">
        <f>'Annual Expenditure'!D413</f>
        <v>2025-26/068</v>
      </c>
      <c r="E36" s="284">
        <f>'Annual Expenditure'!E413</f>
        <v>93.2</v>
      </c>
      <c r="F36" s="300" t="str">
        <f>'Annual Expenditure'!F413</f>
        <v>Cleaner Care Ltd - VH Cleans for August</v>
      </c>
      <c r="G36" s="314">
        <f>'Annual Expenditure'!G413</f>
        <v>102.5</v>
      </c>
      <c r="H36" s="314">
        <f>'Annual Expenditure'!H413</f>
        <v>20.5</v>
      </c>
      <c r="I36" s="314">
        <f>'Annual Expenditure'!I413</f>
        <v>123</v>
      </c>
      <c r="J36" s="355" t="str">
        <f>'Annual Expenditure'!J413</f>
        <v>Bank Transfer</v>
      </c>
      <c r="K36" s="372">
        <f>'Annual Expenditure'!K413</f>
        <v>45910</v>
      </c>
      <c r="L36" s="356">
        <f>'Annual Expenditure'!L413</f>
        <v>22</v>
      </c>
      <c r="M36" s="300"/>
      <c r="N36" s="317">
        <f>'Annual Expenditure'!N413</f>
        <v>0.36880000000000007</v>
      </c>
      <c r="P36" s="64" t="s">
        <v>321</v>
      </c>
    </row>
    <row r="37" spans="2:16" x14ac:dyDescent="0.3">
      <c r="B37" s="32"/>
      <c r="C37" s="355">
        <f>'Annual Expenditure'!C414</f>
        <v>45922</v>
      </c>
      <c r="D37" s="355" t="str">
        <f>'Annual Expenditure'!D414</f>
        <v>2025-26/069</v>
      </c>
      <c r="E37" s="284">
        <f>'Annual Expenditure'!E414</f>
        <v>93.2</v>
      </c>
      <c r="F37" s="300" t="str">
        <f>'Annual Expenditure'!F414</f>
        <v>HSBC - Bank Charge, cheque clearance</v>
      </c>
      <c r="G37" s="314">
        <f>'Annual Expenditure'!G414</f>
        <v>0.8</v>
      </c>
      <c r="H37" s="314">
        <f>'Annual Expenditure'!H414</f>
        <v>0</v>
      </c>
      <c r="I37" s="314">
        <f>'Annual Expenditure'!I414</f>
        <v>0.8</v>
      </c>
      <c r="J37" s="355" t="str">
        <f>'Annual Expenditure'!J414</f>
        <v>Direct Payment</v>
      </c>
      <c r="K37" s="372">
        <f>'Annual Expenditure'!K414</f>
        <v>45921</v>
      </c>
      <c r="L37" s="356">
        <f>'Annual Expenditure'!L414</f>
        <v>34</v>
      </c>
      <c r="M37" s="300"/>
      <c r="N37" s="317">
        <f>'Annual Expenditure'!N414</f>
        <v>0.27</v>
      </c>
      <c r="P37" s="281" t="s">
        <v>261</v>
      </c>
    </row>
    <row r="38" spans="2:16" ht="13.5" thickBot="1" x14ac:dyDescent="0.35">
      <c r="B38" s="32"/>
      <c r="C38" s="355">
        <f>'Annual Expenditure'!C415</f>
        <v>45929</v>
      </c>
      <c r="D38" s="355" t="str">
        <f>'Annual Expenditure'!D415</f>
        <v>2025-26/070</v>
      </c>
      <c r="E38" s="284">
        <f>'Annual Expenditure'!E415</f>
        <v>93.2</v>
      </c>
      <c r="F38" s="300" t="str">
        <f>'Annual Expenditure'!F415</f>
        <v>Clerk’s Salary for September</v>
      </c>
      <c r="G38" s="314">
        <f>'Annual Expenditure'!G415</f>
        <v>1014.94</v>
      </c>
      <c r="H38" s="314">
        <f>'Annual Expenditure'!H415</f>
        <v>0</v>
      </c>
      <c r="I38" s="314">
        <f>'Annual Expenditure'!I415</f>
        <v>1014.94</v>
      </c>
      <c r="J38" s="355" t="str">
        <f>'Annual Expenditure'!J415</f>
        <v>S/Order</v>
      </c>
      <c r="K38" s="372">
        <f>'Annual Expenditure'!K415</f>
        <v>47390</v>
      </c>
      <c r="L38" s="356">
        <f>'Annual Expenditure'!L415</f>
        <v>1</v>
      </c>
      <c r="M38" s="300"/>
      <c r="N38" s="317">
        <f>'Annual Expenditure'!N415</f>
        <v>0.47619025277109855</v>
      </c>
      <c r="P38" s="65" t="s">
        <v>318</v>
      </c>
    </row>
    <row r="39" spans="2:16" x14ac:dyDescent="0.3">
      <c r="B39" s="72"/>
      <c r="C39" s="355">
        <f>'Annual Expenditure'!C416</f>
        <v>45929</v>
      </c>
      <c r="D39" s="355" t="str">
        <f>'Annual Expenditure'!D416</f>
        <v>2025-26/071</v>
      </c>
      <c r="E39" s="284">
        <f>'Annual Expenditure'!E416</f>
        <v>93.2</v>
      </c>
      <c r="F39" s="300" t="str">
        <f>'Annual Expenditure'!F416</f>
        <v>Clerk’s Office Allowance (WFH)</v>
      </c>
      <c r="G39" s="314">
        <f>'Annual Expenditure'!G416</f>
        <v>26</v>
      </c>
      <c r="H39" s="314">
        <f>'Annual Expenditure'!H416</f>
        <v>0</v>
      </c>
      <c r="I39" s="314">
        <f>'Annual Expenditure'!I416</f>
        <v>26</v>
      </c>
      <c r="J39" s="355" t="str">
        <f>'Annual Expenditure'!J416</f>
        <v>S/Order</v>
      </c>
      <c r="K39" s="372">
        <f>'Annual Expenditure'!K416</f>
        <v>47390</v>
      </c>
      <c r="L39" s="356">
        <f>'Annual Expenditure'!L416</f>
        <v>3</v>
      </c>
      <c r="M39" s="300"/>
      <c r="N39" s="317">
        <f>'Annual Expenditure'!N416</f>
        <v>0.5</v>
      </c>
    </row>
    <row r="40" spans="2:16" x14ac:dyDescent="0.3">
      <c r="B40" s="72"/>
      <c r="C40" s="355">
        <f>'Annual Expenditure'!C417</f>
        <v>45917</v>
      </c>
      <c r="D40" s="355" t="str">
        <f>'Annual Expenditure'!D417</f>
        <v>2025-26/072</v>
      </c>
      <c r="E40" s="284"/>
      <c r="F40" s="300" t="str">
        <f>'Annual Expenditure'!F417</f>
        <v>OVO Energy Ltd - VH electricity usage, 07/08/25 to 06/09/25</v>
      </c>
      <c r="G40" s="314">
        <f>'Annual Expenditure'!G417</f>
        <v>24.08</v>
      </c>
      <c r="H40" s="314">
        <f>'Annual Expenditure'!H417</f>
        <v>0</v>
      </c>
      <c r="I40" s="314">
        <f>'Annual Expenditure'!I417</f>
        <v>24.08</v>
      </c>
      <c r="J40" s="355" t="str">
        <f>'Annual Expenditure'!J417</f>
        <v>Debit Card</v>
      </c>
      <c r="K40" s="372">
        <f>'Annual Expenditure'!K417</f>
        <v>45917</v>
      </c>
      <c r="L40" s="356">
        <f>'Annual Expenditure'!L417</f>
        <v>22</v>
      </c>
      <c r="M40" s="300"/>
      <c r="N40" s="317">
        <f>'Annual Expenditure'!N417</f>
        <v>0.3784320000000001</v>
      </c>
    </row>
    <row r="41" spans="2:16" x14ac:dyDescent="0.3">
      <c r="B41" s="72"/>
      <c r="C41" s="355">
        <f>'Annual Expenditure'!C418</f>
        <v>45918</v>
      </c>
      <c r="D41" s="355" t="str">
        <f>'Annual Expenditure'!D418</f>
        <v>2025-26/073</v>
      </c>
      <c r="E41" s="284">
        <f>'Annual Expenditure'!E418</f>
        <v>93.2</v>
      </c>
      <c r="F41" s="300" t="str">
        <f>'Annual Expenditure'!F418</f>
        <v>Hunter Garden Services - VH path clearing work</v>
      </c>
      <c r="G41" s="314">
        <f>'Annual Expenditure'!G418</f>
        <v>160</v>
      </c>
      <c r="H41" s="314">
        <f>'Annual Expenditure'!H418</f>
        <v>0</v>
      </c>
      <c r="I41" s="314">
        <f>'Annual Expenditure'!I418</f>
        <v>160</v>
      </c>
      <c r="J41" s="355" t="str">
        <f>'Annual Expenditure'!J418</f>
        <v>Bank Transfer</v>
      </c>
      <c r="K41" s="372">
        <f>'Annual Expenditure'!K418</f>
        <v>45919</v>
      </c>
      <c r="L41" s="356">
        <f>'Annual Expenditure'!L418</f>
        <v>21</v>
      </c>
      <c r="M41" s="300"/>
      <c r="N41" s="317">
        <f>'Annual Expenditure'!N418</f>
        <v>0.18665999999999999</v>
      </c>
    </row>
    <row r="42" spans="2:16" ht="13.5" thickBot="1" x14ac:dyDescent="0.35">
      <c r="B42" s="34"/>
      <c r="C42" s="68"/>
      <c r="D42" s="60"/>
      <c r="E42" s="122"/>
      <c r="F42" s="35"/>
      <c r="G42" s="36">
        <f>SUM(G28:G38)</f>
        <v>1847.83</v>
      </c>
      <c r="H42" s="36">
        <f>'Annual Expenditure'!H419</f>
        <v>52.32</v>
      </c>
      <c r="I42" s="36">
        <f>'Annual Expenditure'!I419</f>
        <v>2110.23</v>
      </c>
      <c r="J42" s="198"/>
      <c r="K42" s="68"/>
      <c r="L42" s="61"/>
      <c r="M42" s="61"/>
      <c r="N42" s="62"/>
    </row>
    <row r="43" spans="2:16" ht="13.5" thickBot="1" x14ac:dyDescent="0.35"/>
    <row r="44" spans="2:16" x14ac:dyDescent="0.3">
      <c r="F44" s="100" t="s">
        <v>254</v>
      </c>
    </row>
    <row r="45" spans="2:16" x14ac:dyDescent="0.3">
      <c r="F45" s="101" t="s">
        <v>251</v>
      </c>
    </row>
    <row r="46" spans="2:16" ht="14.5" x14ac:dyDescent="0.35">
      <c r="F46" s="99" t="s">
        <v>252</v>
      </c>
    </row>
    <row r="47" spans="2:16" ht="15" thickBot="1" x14ac:dyDescent="0.4">
      <c r="F47" s="98" t="s">
        <v>253</v>
      </c>
    </row>
  </sheetData>
  <conditionalFormatting sqref="N1:N15 N26:N27 N42">
    <cfRule type="containsText" priority="1" operator="containsText" text="N/A">
      <formula>NOT(ISERROR(SEARCH("N/A",N1)))</formula>
    </cfRule>
    <cfRule type="cellIs" dxfId="37" priority="2" operator="equal">
      <formula>1</formula>
    </cfRule>
    <cfRule type="cellIs" dxfId="36" priority="3" operator="between">
      <formula>0.75</formula>
      <formula>0.99</formula>
    </cfRule>
    <cfRule type="cellIs" dxfId="35" priority="4" stopIfTrue="1" operator="greaterThan">
      <formula>1</formula>
    </cfRule>
    <cfRule type="cellIs" dxfId="34" priority="5" stopIfTrue="1" operator="equal">
      <formula>1</formula>
    </cfRule>
  </conditionalFormatting>
  <conditionalFormatting sqref="N3:N15 N26:N27 N42">
    <cfRule type="cellIs" dxfId="33" priority="11" stopIfTrue="1" operator="between">
      <formula>0.75</formula>
      <formula>0.99</formula>
    </cfRule>
    <cfRule type="cellIs" dxfId="32" priority="12" stopIfTrue="1" operator="greaterThan">
      <formula>1</formula>
    </cfRule>
  </conditionalFormatting>
  <pageMargins left="0.25" right="0.25" top="0.75" bottom="0.75" header="0.3" footer="0.3"/>
  <pageSetup paperSize="9" scale="7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26AD-D2F4-41DF-B27C-5E3E0E5D18C4}">
  <sheetPr>
    <tabColor theme="2" tint="-0.249977111117893"/>
    <pageSetUpPr fitToPage="1"/>
  </sheetPr>
  <dimension ref="A1:U437"/>
  <sheetViews>
    <sheetView tabSelected="1" topLeftCell="A333" zoomScale="97" zoomScaleNormal="97" workbookViewId="0">
      <selection activeCell="K336" sqref="K336:K346"/>
    </sheetView>
  </sheetViews>
  <sheetFormatPr defaultRowHeight="13" x14ac:dyDescent="0.3"/>
  <cols>
    <col min="1" max="1" width="2.88671875" customWidth="1"/>
    <col min="2" max="2" width="7.44140625" bestFit="1" customWidth="1"/>
    <col min="3" max="3" width="10.5546875" customWidth="1"/>
    <col min="4" max="4" width="12" style="19" customWidth="1"/>
    <col min="5" max="5" width="10.109375" style="115" bestFit="1" customWidth="1"/>
    <col min="6" max="6" width="57.33203125" bestFit="1" customWidth="1"/>
    <col min="7" max="7" width="10.109375" style="11" bestFit="1" customWidth="1"/>
    <col min="8" max="8" width="8.44140625" style="11" customWidth="1"/>
    <col min="9" max="9" width="9.5546875" style="11" bestFit="1" customWidth="1"/>
    <col min="10" max="10" width="13.5546875" style="7" customWidth="1"/>
    <col min="11" max="11" width="10.6640625" style="1" bestFit="1" customWidth="1"/>
    <col min="12" max="12" width="12.109375" customWidth="1"/>
    <col min="13" max="13" width="7.88671875" customWidth="1"/>
    <col min="14" max="14" width="9.88671875" customWidth="1"/>
    <col min="15" max="15" width="6.44140625" customWidth="1"/>
    <col min="16" max="16" width="78.44140625" customWidth="1"/>
    <col min="17" max="17" width="23.44140625" customWidth="1"/>
    <col min="18" max="18" width="8.6640625" customWidth="1"/>
    <col min="19" max="19" width="10.44140625" customWidth="1"/>
    <col min="20" max="20" width="15" bestFit="1" customWidth="1"/>
  </cols>
  <sheetData>
    <row r="1" spans="3:21" hidden="1" x14ac:dyDescent="0.3">
      <c r="F1" s="5" t="s">
        <v>56</v>
      </c>
    </row>
    <row r="2" spans="3:21" s="5" customFormat="1" hidden="1" x14ac:dyDescent="0.3">
      <c r="D2" s="20"/>
      <c r="E2" s="116"/>
      <c r="G2" s="12"/>
      <c r="H2" s="12"/>
      <c r="I2" s="12"/>
      <c r="J2" s="16"/>
      <c r="K2" s="8"/>
    </row>
    <row r="3" spans="3:21" hidden="1" x14ac:dyDescent="0.3">
      <c r="C3" s="4" t="s">
        <v>0</v>
      </c>
      <c r="D3" s="19" t="s">
        <v>1</v>
      </c>
      <c r="F3" t="s">
        <v>2</v>
      </c>
      <c r="G3" s="11" t="s">
        <v>22</v>
      </c>
      <c r="H3" s="11" t="s">
        <v>23</v>
      </c>
      <c r="I3" s="11" t="s">
        <v>24</v>
      </c>
      <c r="J3" s="7" t="s">
        <v>3</v>
      </c>
      <c r="L3" t="s">
        <v>4</v>
      </c>
      <c r="R3" s="5" t="s">
        <v>53</v>
      </c>
    </row>
    <row r="4" spans="3:21" hidden="1" x14ac:dyDescent="0.3">
      <c r="C4" s="1"/>
      <c r="N4" s="5"/>
      <c r="O4" s="5"/>
      <c r="P4" s="5"/>
      <c r="Q4" s="5"/>
      <c r="R4" s="5">
        <v>1504.13</v>
      </c>
      <c r="S4" s="5"/>
      <c r="T4" s="5"/>
      <c r="U4" s="5"/>
    </row>
    <row r="5" spans="3:21" hidden="1" x14ac:dyDescent="0.3">
      <c r="C5" s="1">
        <v>42430</v>
      </c>
      <c r="D5" s="19">
        <v>75</v>
      </c>
      <c r="F5" t="s">
        <v>31</v>
      </c>
      <c r="G5" s="11">
        <v>30.18</v>
      </c>
      <c r="H5" s="11">
        <v>0</v>
      </c>
      <c r="I5" s="14">
        <v>30.18</v>
      </c>
      <c r="J5" s="7">
        <v>201390</v>
      </c>
      <c r="L5" s="1">
        <v>42458</v>
      </c>
      <c r="M5" s="1"/>
      <c r="N5" s="5" t="s">
        <v>14</v>
      </c>
      <c r="O5" s="5"/>
      <c r="P5" s="5" t="s">
        <v>48</v>
      </c>
      <c r="Q5" s="5"/>
      <c r="R5" s="5" t="s">
        <v>49</v>
      </c>
      <c r="S5" s="5" t="s">
        <v>55</v>
      </c>
      <c r="T5" s="5" t="s">
        <v>54</v>
      </c>
    </row>
    <row r="6" spans="3:21" hidden="1" x14ac:dyDescent="0.3">
      <c r="C6" s="1">
        <v>42430</v>
      </c>
      <c r="D6" s="19">
        <v>76</v>
      </c>
      <c r="F6" t="s">
        <v>36</v>
      </c>
      <c r="G6" s="11">
        <v>1800</v>
      </c>
      <c r="H6" s="11">
        <v>360</v>
      </c>
      <c r="I6" s="14">
        <v>2160</v>
      </c>
      <c r="J6" s="7">
        <v>201391</v>
      </c>
      <c r="L6" s="1">
        <v>42458</v>
      </c>
      <c r="M6" s="1"/>
      <c r="N6">
        <v>64000</v>
      </c>
      <c r="P6">
        <v>6980.94</v>
      </c>
      <c r="R6" t="e">
        <f>R4-#REF!+N6+P6</f>
        <v>#REF!</v>
      </c>
      <c r="S6">
        <v>1301.5</v>
      </c>
      <c r="T6" t="e">
        <f>S6+R6</f>
        <v>#REF!</v>
      </c>
    </row>
    <row r="7" spans="3:21" hidden="1" x14ac:dyDescent="0.3">
      <c r="C7" s="1">
        <v>42430</v>
      </c>
      <c r="D7" s="19">
        <v>78</v>
      </c>
      <c r="F7" t="s">
        <v>29</v>
      </c>
      <c r="G7" s="11">
        <v>46.7</v>
      </c>
      <c r="H7" s="11">
        <v>0</v>
      </c>
      <c r="I7" s="14">
        <f t="shared" ref="I7:I14" si="0">G7+H7</f>
        <v>46.7</v>
      </c>
      <c r="J7" s="7">
        <v>201392</v>
      </c>
      <c r="L7" s="1">
        <v>42458</v>
      </c>
      <c r="M7" s="1"/>
    </row>
    <row r="8" spans="3:21" hidden="1" x14ac:dyDescent="0.3">
      <c r="C8" s="1">
        <v>42430</v>
      </c>
      <c r="D8" s="19">
        <v>79</v>
      </c>
      <c r="F8" t="s">
        <v>27</v>
      </c>
      <c r="G8" s="11">
        <v>175</v>
      </c>
      <c r="H8" s="11">
        <v>35</v>
      </c>
      <c r="I8" s="14">
        <f t="shared" si="0"/>
        <v>210</v>
      </c>
      <c r="J8" s="7">
        <v>201393</v>
      </c>
      <c r="L8" s="1">
        <v>42458</v>
      </c>
      <c r="M8" s="1"/>
    </row>
    <row r="9" spans="3:21" hidden="1" x14ac:dyDescent="0.3">
      <c r="C9" s="1">
        <v>42430</v>
      </c>
      <c r="D9" s="19">
        <v>80</v>
      </c>
      <c r="F9" t="s">
        <v>30</v>
      </c>
      <c r="G9" s="11">
        <v>335</v>
      </c>
      <c r="H9" s="11">
        <v>0</v>
      </c>
      <c r="I9" s="14">
        <f t="shared" si="0"/>
        <v>335</v>
      </c>
      <c r="J9" s="7">
        <v>201394</v>
      </c>
      <c r="L9" s="1">
        <v>42458</v>
      </c>
      <c r="M9" s="1"/>
    </row>
    <row r="10" spans="3:21" hidden="1" x14ac:dyDescent="0.3">
      <c r="C10" s="1">
        <v>42430</v>
      </c>
      <c r="D10" s="19">
        <v>81</v>
      </c>
      <c r="F10" t="s">
        <v>32</v>
      </c>
      <c r="G10" s="11">
        <v>118</v>
      </c>
      <c r="H10" s="11">
        <v>0</v>
      </c>
      <c r="I10" s="14">
        <f t="shared" si="0"/>
        <v>118</v>
      </c>
      <c r="J10" s="7">
        <v>201395</v>
      </c>
      <c r="L10" s="1">
        <v>42458</v>
      </c>
      <c r="M10" s="1"/>
      <c r="P10" t="s">
        <v>12</v>
      </c>
      <c r="R10" t="s">
        <v>13</v>
      </c>
      <c r="S10" t="s">
        <v>14</v>
      </c>
      <c r="T10">
        <v>1504.13</v>
      </c>
    </row>
    <row r="11" spans="3:21" hidden="1" x14ac:dyDescent="0.3">
      <c r="C11" s="1">
        <v>42430</v>
      </c>
      <c r="D11" s="19">
        <v>82</v>
      </c>
      <c r="F11" t="s">
        <v>33</v>
      </c>
      <c r="G11" s="11">
        <v>402.97</v>
      </c>
      <c r="H11" s="11">
        <v>0</v>
      </c>
      <c r="I11" s="14">
        <f t="shared" si="0"/>
        <v>402.97</v>
      </c>
      <c r="J11" s="7">
        <v>201396</v>
      </c>
      <c r="L11" s="1">
        <v>42458</v>
      </c>
      <c r="M11" s="1"/>
      <c r="N11" t="s">
        <v>5</v>
      </c>
      <c r="P11">
        <v>2157.27</v>
      </c>
      <c r="R11" s="2">
        <v>204</v>
      </c>
      <c r="S11">
        <v>2000</v>
      </c>
    </row>
    <row r="12" spans="3:21" hidden="1" x14ac:dyDescent="0.3">
      <c r="C12" s="1">
        <v>42430</v>
      </c>
      <c r="D12" s="19">
        <v>83</v>
      </c>
      <c r="F12" t="s">
        <v>28</v>
      </c>
      <c r="G12" s="11">
        <v>435</v>
      </c>
      <c r="H12" s="11">
        <v>87</v>
      </c>
      <c r="I12" s="14">
        <f t="shared" si="0"/>
        <v>522</v>
      </c>
      <c r="J12" s="7">
        <v>201397</v>
      </c>
      <c r="L12" s="1">
        <v>42458</v>
      </c>
      <c r="M12" s="1"/>
      <c r="N12" t="s">
        <v>7</v>
      </c>
      <c r="P12">
        <v>1438.47</v>
      </c>
      <c r="R12" s="2">
        <v>320</v>
      </c>
      <c r="S12">
        <v>1000</v>
      </c>
    </row>
    <row r="13" spans="3:21" hidden="1" x14ac:dyDescent="0.3">
      <c r="C13" s="1">
        <v>42430</v>
      </c>
      <c r="D13" s="19">
        <v>84</v>
      </c>
      <c r="F13" t="s">
        <v>34</v>
      </c>
      <c r="G13" s="11">
        <v>80.42</v>
      </c>
      <c r="H13" s="11">
        <v>12.02</v>
      </c>
      <c r="I13" s="14">
        <f t="shared" si="0"/>
        <v>92.44</v>
      </c>
      <c r="J13" s="7">
        <v>201398</v>
      </c>
      <c r="L13" s="1">
        <v>42458</v>
      </c>
      <c r="M13" s="1"/>
      <c r="N13" t="s">
        <v>8</v>
      </c>
      <c r="P13" s="3">
        <v>2850.67</v>
      </c>
      <c r="Q13" s="3"/>
      <c r="R13" s="2">
        <v>1275.1600000000001</v>
      </c>
      <c r="S13">
        <v>1000</v>
      </c>
    </row>
    <row r="14" spans="3:21" hidden="1" x14ac:dyDescent="0.3">
      <c r="C14" s="1">
        <v>42430</v>
      </c>
      <c r="D14" s="19">
        <v>85</v>
      </c>
      <c r="F14" t="s">
        <v>35</v>
      </c>
      <c r="G14" s="11">
        <v>34</v>
      </c>
      <c r="H14" s="11">
        <v>0</v>
      </c>
      <c r="I14" s="14">
        <f t="shared" si="0"/>
        <v>34</v>
      </c>
      <c r="J14" s="7">
        <v>201399</v>
      </c>
      <c r="L14" s="1">
        <v>42458</v>
      </c>
      <c r="M14" s="1"/>
      <c r="N14" t="s">
        <v>9</v>
      </c>
      <c r="P14" s="3">
        <v>273.67</v>
      </c>
      <c r="Q14" s="3"/>
      <c r="R14" s="2">
        <v>160</v>
      </c>
      <c r="T14" s="4"/>
    </row>
    <row r="15" spans="3:21" hidden="1" x14ac:dyDescent="0.3">
      <c r="C15" s="1">
        <v>42433</v>
      </c>
      <c r="D15" s="19">
        <v>86</v>
      </c>
      <c r="F15" t="s">
        <v>47</v>
      </c>
      <c r="G15" s="11">
        <v>20</v>
      </c>
      <c r="H15" s="11">
        <v>0</v>
      </c>
      <c r="I15" s="14">
        <v>20</v>
      </c>
      <c r="J15" s="7">
        <v>201501</v>
      </c>
      <c r="L15" s="1">
        <v>42458</v>
      </c>
      <c r="M15" s="1"/>
      <c r="N15" t="s">
        <v>10</v>
      </c>
      <c r="P15" s="3">
        <v>572.47</v>
      </c>
      <c r="Q15" s="3"/>
      <c r="R15" s="4"/>
      <c r="S15">
        <v>44000</v>
      </c>
    </row>
    <row r="16" spans="3:21" hidden="1" x14ac:dyDescent="0.3">
      <c r="C16" s="1">
        <v>42433</v>
      </c>
      <c r="D16" s="19">
        <v>87</v>
      </c>
      <c r="F16" t="s">
        <v>21</v>
      </c>
      <c r="G16" s="11">
        <v>25</v>
      </c>
      <c r="I16" s="14">
        <f t="shared" ref="I16:I28" si="1">G16+H16</f>
        <v>25</v>
      </c>
      <c r="J16" s="7">
        <v>201502</v>
      </c>
      <c r="L16" s="1">
        <v>42458</v>
      </c>
      <c r="M16" s="1"/>
      <c r="N16" t="s">
        <v>11</v>
      </c>
      <c r="P16" s="3">
        <v>45341.8</v>
      </c>
      <c r="Q16" s="3"/>
      <c r="R16" s="2"/>
      <c r="S16">
        <v>2000</v>
      </c>
    </row>
    <row r="17" spans="3:19" hidden="1" x14ac:dyDescent="0.3">
      <c r="C17" s="1">
        <v>42433</v>
      </c>
      <c r="D17" s="19">
        <v>88</v>
      </c>
      <c r="F17" t="s">
        <v>6</v>
      </c>
      <c r="G17" s="11">
        <v>10</v>
      </c>
      <c r="I17" s="14">
        <f t="shared" si="1"/>
        <v>10</v>
      </c>
      <c r="J17" s="7">
        <v>201400</v>
      </c>
      <c r="L17" s="1">
        <v>42458</v>
      </c>
      <c r="M17" s="1"/>
      <c r="N17" t="s">
        <v>15</v>
      </c>
      <c r="P17" s="3">
        <v>1274.52</v>
      </c>
      <c r="Q17" s="3"/>
      <c r="R17" s="2"/>
      <c r="S17">
        <v>2000</v>
      </c>
    </row>
    <row r="18" spans="3:19" hidden="1" x14ac:dyDescent="0.3">
      <c r="C18" s="1">
        <v>42444</v>
      </c>
      <c r="D18" s="19">
        <v>89</v>
      </c>
      <c r="F18" t="s">
        <v>25</v>
      </c>
      <c r="G18" s="11">
        <v>12.96</v>
      </c>
      <c r="I18" s="14">
        <f t="shared" si="1"/>
        <v>12.96</v>
      </c>
      <c r="J18" s="7">
        <v>201503</v>
      </c>
      <c r="L18" s="1">
        <v>42458</v>
      </c>
      <c r="M18" s="1"/>
      <c r="N18" t="s">
        <v>16</v>
      </c>
      <c r="P18" s="3">
        <v>1937.13</v>
      </c>
      <c r="Q18" s="3"/>
      <c r="R18" s="2">
        <v>466</v>
      </c>
      <c r="S18">
        <v>2000</v>
      </c>
    </row>
    <row r="19" spans="3:19" hidden="1" x14ac:dyDescent="0.3">
      <c r="C19" s="1">
        <v>42444</v>
      </c>
      <c r="D19" s="19">
        <v>90</v>
      </c>
      <c r="F19" t="s">
        <v>36</v>
      </c>
      <c r="G19" s="11">
        <v>913.75</v>
      </c>
      <c r="H19" s="11">
        <v>182.75</v>
      </c>
      <c r="I19" s="14">
        <f t="shared" si="1"/>
        <v>1096.5</v>
      </c>
      <c r="J19" s="7">
        <v>201504</v>
      </c>
      <c r="L19" s="1">
        <v>42458</v>
      </c>
      <c r="M19" s="1"/>
      <c r="N19" t="s">
        <v>17</v>
      </c>
      <c r="P19" s="3">
        <v>2712.42</v>
      </c>
      <c r="Q19" s="3"/>
      <c r="R19" s="2">
        <v>131</v>
      </c>
      <c r="S19">
        <v>1000</v>
      </c>
    </row>
    <row r="20" spans="3:19" hidden="1" x14ac:dyDescent="0.3">
      <c r="C20" s="1">
        <v>42444</v>
      </c>
      <c r="D20" s="19">
        <v>91</v>
      </c>
      <c r="F20" t="s">
        <v>37</v>
      </c>
      <c r="G20" s="11">
        <v>70.349999999999994</v>
      </c>
      <c r="H20" s="11">
        <v>14.07</v>
      </c>
      <c r="I20" s="14">
        <f t="shared" si="1"/>
        <v>84.419999999999987</v>
      </c>
      <c r="J20" s="7">
        <v>201505</v>
      </c>
      <c r="L20" s="1">
        <v>42458</v>
      </c>
      <c r="M20" s="1"/>
      <c r="N20" t="s">
        <v>18</v>
      </c>
      <c r="P20" s="3">
        <v>1636.82</v>
      </c>
      <c r="Q20" s="3"/>
      <c r="R20" s="2">
        <v>760.73</v>
      </c>
      <c r="S20">
        <v>2000</v>
      </c>
    </row>
    <row r="21" spans="3:19" hidden="1" x14ac:dyDescent="0.3">
      <c r="C21" s="1">
        <v>42444</v>
      </c>
      <c r="D21" s="19">
        <v>92</v>
      </c>
      <c r="F21" t="s">
        <v>38</v>
      </c>
      <c r="G21" s="11">
        <v>26.53</v>
      </c>
      <c r="H21" s="11">
        <v>0</v>
      </c>
      <c r="I21" s="14">
        <f t="shared" si="1"/>
        <v>26.53</v>
      </c>
      <c r="J21" s="7">
        <v>201506</v>
      </c>
      <c r="L21" s="1">
        <v>42458</v>
      </c>
      <c r="M21" s="1"/>
      <c r="N21" t="s">
        <v>19</v>
      </c>
      <c r="P21" s="3">
        <v>1543.48</v>
      </c>
      <c r="Q21" s="3"/>
      <c r="R21" s="3">
        <v>464.34</v>
      </c>
      <c r="S21" s="3"/>
    </row>
    <row r="22" spans="3:19" hidden="1" x14ac:dyDescent="0.3">
      <c r="C22" s="1">
        <v>42444</v>
      </c>
      <c r="D22" s="19">
        <v>93</v>
      </c>
      <c r="F22" t="s">
        <v>31</v>
      </c>
      <c r="G22" s="11">
        <v>200</v>
      </c>
      <c r="H22" s="11">
        <v>0</v>
      </c>
      <c r="I22" s="14">
        <f t="shared" si="1"/>
        <v>200</v>
      </c>
      <c r="J22" s="7">
        <v>201507</v>
      </c>
      <c r="L22" s="1">
        <v>42458</v>
      </c>
      <c r="M22" s="1"/>
      <c r="N22" t="s">
        <v>20</v>
      </c>
      <c r="P22" s="3">
        <v>10248.6</v>
      </c>
      <c r="Q22" s="3"/>
      <c r="R22" s="3">
        <v>3199.71</v>
      </c>
      <c r="S22" s="3">
        <v>7000</v>
      </c>
    </row>
    <row r="23" spans="3:19" hidden="1" x14ac:dyDescent="0.3">
      <c r="C23" s="1">
        <v>42444</v>
      </c>
      <c r="D23" s="19">
        <v>94</v>
      </c>
      <c r="F23" t="s">
        <v>39</v>
      </c>
      <c r="G23" s="11">
        <v>180</v>
      </c>
      <c r="H23" s="11">
        <v>0</v>
      </c>
      <c r="I23" s="14">
        <f t="shared" si="1"/>
        <v>180</v>
      </c>
      <c r="J23" s="7">
        <v>201508</v>
      </c>
      <c r="L23" s="1">
        <v>42458</v>
      </c>
      <c r="M23" s="1"/>
      <c r="P23">
        <f>SUM(P11:P22)</f>
        <v>71987.320000000007</v>
      </c>
      <c r="R23">
        <f>SUM(R11:R22)</f>
        <v>6980.9400000000005</v>
      </c>
      <c r="S23">
        <f>SUM(S11:S22)</f>
        <v>64000</v>
      </c>
    </row>
    <row r="24" spans="3:19" hidden="1" x14ac:dyDescent="0.3">
      <c r="C24" s="1">
        <v>42444</v>
      </c>
      <c r="D24" s="19">
        <v>95</v>
      </c>
      <c r="F24" t="s">
        <v>39</v>
      </c>
      <c r="G24" s="11">
        <v>308</v>
      </c>
      <c r="H24" s="11">
        <v>0</v>
      </c>
      <c r="I24" s="14">
        <f t="shared" si="1"/>
        <v>308</v>
      </c>
      <c r="J24" s="7">
        <v>201508</v>
      </c>
      <c r="L24" s="1">
        <v>42458</v>
      </c>
      <c r="M24" s="1"/>
    </row>
    <row r="25" spans="3:19" hidden="1" x14ac:dyDescent="0.3">
      <c r="C25" s="1">
        <v>42444</v>
      </c>
      <c r="D25" s="19">
        <v>96</v>
      </c>
      <c r="F25" t="s">
        <v>40</v>
      </c>
      <c r="G25" s="11">
        <v>9.99</v>
      </c>
      <c r="H25" s="11">
        <v>2</v>
      </c>
      <c r="I25" s="14">
        <f t="shared" si="1"/>
        <v>11.99</v>
      </c>
      <c r="J25" s="7">
        <v>201509</v>
      </c>
      <c r="L25" s="1">
        <v>42458</v>
      </c>
      <c r="M25" s="1"/>
    </row>
    <row r="26" spans="3:19" hidden="1" x14ac:dyDescent="0.3">
      <c r="C26" s="1">
        <v>42444</v>
      </c>
      <c r="D26" s="19">
        <v>97</v>
      </c>
      <c r="F26" t="s">
        <v>41</v>
      </c>
      <c r="G26" s="11">
        <v>1675</v>
      </c>
      <c r="H26" s="11">
        <v>0</v>
      </c>
      <c r="I26" s="14">
        <f t="shared" si="1"/>
        <v>1675</v>
      </c>
      <c r="J26" s="7">
        <v>201510</v>
      </c>
      <c r="L26" s="1">
        <v>42458</v>
      </c>
      <c r="M26" s="1"/>
    </row>
    <row r="27" spans="3:19" hidden="1" x14ac:dyDescent="0.3">
      <c r="C27" s="1">
        <v>42444</v>
      </c>
      <c r="D27" s="19">
        <v>98</v>
      </c>
      <c r="F27" t="s">
        <v>42</v>
      </c>
      <c r="G27" s="11">
        <v>25</v>
      </c>
      <c r="H27" s="11">
        <v>0</v>
      </c>
      <c r="I27" s="14">
        <f t="shared" si="1"/>
        <v>25</v>
      </c>
      <c r="J27" s="7">
        <v>201511</v>
      </c>
      <c r="L27" s="1">
        <v>42458</v>
      </c>
      <c r="M27" s="1"/>
    </row>
    <row r="28" spans="3:19" hidden="1" x14ac:dyDescent="0.3">
      <c r="C28" s="1">
        <v>42444</v>
      </c>
      <c r="D28" s="19">
        <v>99</v>
      </c>
      <c r="F28" t="s">
        <v>43</v>
      </c>
      <c r="G28" s="11">
        <v>49.12</v>
      </c>
      <c r="H28" s="11">
        <v>9.83</v>
      </c>
      <c r="I28" s="14">
        <f t="shared" si="1"/>
        <v>58.949999999999996</v>
      </c>
      <c r="J28" s="7">
        <v>201512</v>
      </c>
      <c r="L28" s="1">
        <v>42458</v>
      </c>
      <c r="M28" s="1"/>
    </row>
    <row r="29" spans="3:19" hidden="1" x14ac:dyDescent="0.3">
      <c r="C29" s="1">
        <v>42444</v>
      </c>
      <c r="D29" s="19">
        <v>100</v>
      </c>
      <c r="F29" t="s">
        <v>44</v>
      </c>
      <c r="G29" s="11">
        <v>180</v>
      </c>
      <c r="H29" s="11">
        <v>0</v>
      </c>
      <c r="I29" s="14">
        <v>180</v>
      </c>
      <c r="J29" s="7">
        <v>201513</v>
      </c>
      <c r="L29" s="1">
        <v>42458</v>
      </c>
      <c r="M29" s="1"/>
    </row>
    <row r="30" spans="3:19" hidden="1" x14ac:dyDescent="0.3">
      <c r="C30" s="1">
        <v>42448</v>
      </c>
      <c r="D30" s="19">
        <v>97</v>
      </c>
      <c r="F30" t="s">
        <v>41</v>
      </c>
      <c r="G30" s="11">
        <v>1675</v>
      </c>
      <c r="H30" s="11">
        <v>0</v>
      </c>
      <c r="I30" s="11">
        <v>1675</v>
      </c>
      <c r="J30" s="7">
        <v>201514</v>
      </c>
      <c r="L30" s="1">
        <v>42458</v>
      </c>
      <c r="M30" s="1"/>
    </row>
    <row r="31" spans="3:19" hidden="1" x14ac:dyDescent="0.3">
      <c r="C31" s="1">
        <v>42448</v>
      </c>
      <c r="D31" s="19">
        <v>97</v>
      </c>
      <c r="F31" t="s">
        <v>41</v>
      </c>
      <c r="H31" s="11">
        <v>0</v>
      </c>
      <c r="J31" s="7" t="s">
        <v>46</v>
      </c>
      <c r="L31" s="1">
        <v>42458</v>
      </c>
      <c r="M31" s="1"/>
    </row>
    <row r="32" spans="3:19" hidden="1" x14ac:dyDescent="0.3">
      <c r="C32" s="1">
        <v>42448</v>
      </c>
      <c r="D32" s="19" t="s">
        <v>57</v>
      </c>
      <c r="F32" t="s">
        <v>41</v>
      </c>
      <c r="G32" s="11">
        <v>15</v>
      </c>
      <c r="H32" s="11">
        <v>0</v>
      </c>
      <c r="I32" s="11">
        <v>15</v>
      </c>
      <c r="J32" s="7" t="s">
        <v>45</v>
      </c>
      <c r="L32" s="1">
        <v>42458</v>
      </c>
      <c r="M32" s="1"/>
    </row>
    <row r="33" spans="2:20" hidden="1" x14ac:dyDescent="0.3">
      <c r="C33" s="1">
        <v>42458</v>
      </c>
      <c r="D33" s="19" t="s">
        <v>26</v>
      </c>
      <c r="F33" t="s">
        <v>50</v>
      </c>
      <c r="G33" s="11">
        <v>693</v>
      </c>
      <c r="H33" s="11">
        <v>0</v>
      </c>
      <c r="I33" s="11">
        <v>693</v>
      </c>
      <c r="J33" s="7" t="s">
        <v>26</v>
      </c>
      <c r="L33" s="1">
        <v>42458</v>
      </c>
      <c r="M33" s="1"/>
    </row>
    <row r="34" spans="2:20" hidden="1" x14ac:dyDescent="0.3">
      <c r="G34" s="11">
        <f>SUM(G5:G33)</f>
        <v>9545.9700000000012</v>
      </c>
      <c r="H34" s="11">
        <f>SUM(H5:H33)</f>
        <v>702.67000000000007</v>
      </c>
      <c r="I34" s="11">
        <f>SUM(I5:I33)</f>
        <v>10248.64</v>
      </c>
    </row>
    <row r="35" spans="2:20" hidden="1" x14ac:dyDescent="0.3"/>
    <row r="36" spans="2:20" hidden="1" x14ac:dyDescent="0.3">
      <c r="T36" s="5" t="s">
        <v>68</v>
      </c>
    </row>
    <row r="37" spans="2:20" hidden="1" x14ac:dyDescent="0.3">
      <c r="B37" s="6">
        <v>42461</v>
      </c>
      <c r="C37" s="1">
        <v>42465</v>
      </c>
      <c r="D37" s="21">
        <v>101</v>
      </c>
      <c r="E37" s="117"/>
      <c r="F37" t="s">
        <v>58</v>
      </c>
      <c r="G37" s="11">
        <v>402.97</v>
      </c>
      <c r="H37" s="11">
        <v>0</v>
      </c>
      <c r="I37" s="11">
        <f t="shared" ref="I37:I47" si="2">G37+H37</f>
        <v>402.97</v>
      </c>
      <c r="J37" s="7">
        <v>201515</v>
      </c>
      <c r="L37" s="1">
        <v>42499</v>
      </c>
      <c r="M37" s="1"/>
      <c r="N37" s="5"/>
      <c r="O37" s="5"/>
      <c r="P37" s="5" t="s">
        <v>12</v>
      </c>
      <c r="Q37" s="5"/>
      <c r="R37" s="5" t="s">
        <v>13</v>
      </c>
      <c r="S37" s="5" t="s">
        <v>14</v>
      </c>
      <c r="T37" s="5">
        <v>497.7</v>
      </c>
    </row>
    <row r="38" spans="2:20" hidden="1" x14ac:dyDescent="0.3">
      <c r="C38" s="1">
        <v>42465</v>
      </c>
      <c r="D38" s="21">
        <v>102</v>
      </c>
      <c r="E38" s="117"/>
      <c r="F38" t="s">
        <v>59</v>
      </c>
      <c r="G38" s="11">
        <v>33</v>
      </c>
      <c r="H38" s="11">
        <v>0</v>
      </c>
      <c r="I38" s="11">
        <f t="shared" si="2"/>
        <v>33</v>
      </c>
      <c r="J38" s="7">
        <v>201516</v>
      </c>
      <c r="L38" s="1">
        <v>42499</v>
      </c>
      <c r="M38" s="1"/>
      <c r="N38" s="5" t="s">
        <v>5</v>
      </c>
      <c r="O38" s="5"/>
      <c r="P38">
        <v>2016.22</v>
      </c>
      <c r="R38">
        <v>1270.08</v>
      </c>
      <c r="S38">
        <v>1000</v>
      </c>
      <c r="T38">
        <f>T37-P38+R38+S38</f>
        <v>751.56</v>
      </c>
    </row>
    <row r="39" spans="2:20" hidden="1" x14ac:dyDescent="0.3">
      <c r="C39" s="1">
        <v>42465</v>
      </c>
      <c r="D39" s="21">
        <v>103</v>
      </c>
      <c r="E39" s="117"/>
      <c r="F39" t="s">
        <v>60</v>
      </c>
      <c r="G39" s="11">
        <v>525</v>
      </c>
      <c r="H39" s="11">
        <v>105</v>
      </c>
      <c r="I39" s="11">
        <f t="shared" si="2"/>
        <v>630</v>
      </c>
      <c r="J39" s="7">
        <v>201517</v>
      </c>
      <c r="L39" s="1">
        <v>42499</v>
      </c>
      <c r="M39" s="1"/>
      <c r="N39" s="5" t="s">
        <v>7</v>
      </c>
      <c r="O39" s="5"/>
      <c r="P39">
        <v>9388.1</v>
      </c>
      <c r="R39">
        <v>153.28</v>
      </c>
      <c r="S39">
        <v>9000</v>
      </c>
      <c r="T39">
        <f>T38+S39+R39-P39</f>
        <v>516.73999999999978</v>
      </c>
    </row>
    <row r="40" spans="2:20" hidden="1" x14ac:dyDescent="0.3">
      <c r="C40" s="1">
        <v>42465</v>
      </c>
      <c r="D40" s="21">
        <v>104</v>
      </c>
      <c r="E40" s="117"/>
      <c r="F40" t="s">
        <v>61</v>
      </c>
      <c r="G40" s="11">
        <v>173.34</v>
      </c>
      <c r="H40" s="11">
        <v>34.67</v>
      </c>
      <c r="I40" s="11">
        <f t="shared" si="2"/>
        <v>208.01</v>
      </c>
      <c r="J40" s="7">
        <v>201518</v>
      </c>
      <c r="L40" s="1">
        <v>42499</v>
      </c>
      <c r="M40" s="1"/>
      <c r="N40" s="5" t="s">
        <v>8</v>
      </c>
      <c r="O40" s="5"/>
      <c r="P40">
        <v>2696.46</v>
      </c>
      <c r="R40">
        <v>530.44000000000005</v>
      </c>
      <c r="S40">
        <v>3000</v>
      </c>
      <c r="T40">
        <f>T39-P40+R40+S40</f>
        <v>1350.7199999999998</v>
      </c>
    </row>
    <row r="41" spans="2:20" hidden="1" x14ac:dyDescent="0.3">
      <c r="C41" s="1">
        <v>42465</v>
      </c>
      <c r="D41" s="21">
        <v>105</v>
      </c>
      <c r="E41" s="117"/>
      <c r="F41" t="s">
        <v>62</v>
      </c>
      <c r="G41" s="11">
        <v>9.99</v>
      </c>
      <c r="H41" s="11">
        <v>0</v>
      </c>
      <c r="I41" s="11">
        <f t="shared" si="2"/>
        <v>9.99</v>
      </c>
      <c r="J41" s="7">
        <v>201519</v>
      </c>
      <c r="L41" s="1">
        <v>42499</v>
      </c>
      <c r="M41" s="1"/>
      <c r="N41" s="5" t="s">
        <v>9</v>
      </c>
      <c r="O41" s="5"/>
      <c r="P41">
        <v>1894.61</v>
      </c>
      <c r="R41">
        <v>398.08</v>
      </c>
      <c r="S41">
        <v>2000</v>
      </c>
      <c r="T41" s="4">
        <f>T40-P41+R41+S41</f>
        <v>1854.1899999999998</v>
      </c>
    </row>
    <row r="42" spans="2:20" hidden="1" x14ac:dyDescent="0.3">
      <c r="C42" s="1">
        <v>42465</v>
      </c>
      <c r="D42" s="21">
        <v>106</v>
      </c>
      <c r="E42" s="117"/>
      <c r="F42" t="s">
        <v>63</v>
      </c>
      <c r="G42" s="11">
        <v>44.62</v>
      </c>
      <c r="H42" s="11">
        <v>0</v>
      </c>
      <c r="I42" s="11">
        <f t="shared" si="2"/>
        <v>44.62</v>
      </c>
      <c r="J42" s="7">
        <v>201520</v>
      </c>
      <c r="L42" s="1">
        <v>42499</v>
      </c>
      <c r="M42" s="1"/>
      <c r="N42" s="5" t="s">
        <v>10</v>
      </c>
      <c r="O42" s="5"/>
      <c r="P42">
        <v>993.64</v>
      </c>
      <c r="R42" s="4">
        <v>382.44</v>
      </c>
      <c r="S42">
        <v>0</v>
      </c>
      <c r="T42">
        <f>T41-P42+R42</f>
        <v>1242.9899999999998</v>
      </c>
    </row>
    <row r="43" spans="2:20" hidden="1" x14ac:dyDescent="0.3">
      <c r="C43" s="1">
        <v>42465</v>
      </c>
      <c r="D43" s="21">
        <v>107</v>
      </c>
      <c r="E43" s="117"/>
      <c r="F43" t="s">
        <v>35</v>
      </c>
      <c r="G43" s="11">
        <v>33</v>
      </c>
      <c r="H43" s="11">
        <v>0</v>
      </c>
      <c r="I43" s="11">
        <f t="shared" si="2"/>
        <v>33</v>
      </c>
      <c r="J43" s="7">
        <v>201521</v>
      </c>
      <c r="L43" s="1">
        <v>42499</v>
      </c>
      <c r="M43" s="1"/>
      <c r="N43" s="5" t="s">
        <v>11</v>
      </c>
      <c r="O43" s="5"/>
      <c r="P43">
        <v>1776.71</v>
      </c>
      <c r="R43">
        <v>328.93</v>
      </c>
      <c r="S43">
        <v>1500</v>
      </c>
      <c r="T43">
        <f>T42-P43+R43+S43</f>
        <v>1295.2099999999998</v>
      </c>
    </row>
    <row r="44" spans="2:20" hidden="1" x14ac:dyDescent="0.3">
      <c r="C44" s="1">
        <v>42473</v>
      </c>
      <c r="D44" s="21" t="s">
        <v>57</v>
      </c>
      <c r="E44" s="117"/>
      <c r="F44" t="s">
        <v>67</v>
      </c>
      <c r="G44" s="11">
        <v>15</v>
      </c>
      <c r="H44" s="11">
        <v>0</v>
      </c>
      <c r="I44" s="11">
        <f t="shared" si="2"/>
        <v>15</v>
      </c>
      <c r="J44" s="7" t="s">
        <v>57</v>
      </c>
      <c r="L44" s="1">
        <v>42499</v>
      </c>
      <c r="M44" s="1"/>
      <c r="N44" s="5" t="s">
        <v>15</v>
      </c>
      <c r="O44" s="5"/>
      <c r="P44">
        <v>2191.0500000000002</v>
      </c>
      <c r="R44">
        <v>676.14</v>
      </c>
      <c r="S44">
        <v>2000</v>
      </c>
      <c r="T44">
        <f>T43-P44+R44+S44</f>
        <v>1780.2999999999997</v>
      </c>
    </row>
    <row r="45" spans="2:20" hidden="1" x14ac:dyDescent="0.3">
      <c r="C45" s="1">
        <v>42473</v>
      </c>
      <c r="D45" s="21" t="s">
        <v>57</v>
      </c>
      <c r="E45" s="117"/>
      <c r="F45" t="s">
        <v>67</v>
      </c>
      <c r="G45" s="11">
        <v>1.63</v>
      </c>
      <c r="H45" s="11">
        <v>0</v>
      </c>
      <c r="I45" s="11">
        <f t="shared" si="2"/>
        <v>1.63</v>
      </c>
      <c r="J45" s="7" t="s">
        <v>57</v>
      </c>
      <c r="L45" s="1">
        <v>42499</v>
      </c>
      <c r="M45" s="1"/>
      <c r="N45" s="5" t="s">
        <v>16</v>
      </c>
      <c r="O45" s="5"/>
      <c r="P45">
        <v>2045.46</v>
      </c>
      <c r="R45">
        <v>992</v>
      </c>
      <c r="S45">
        <v>0</v>
      </c>
      <c r="T45">
        <f>T44-P45+R45</f>
        <v>726.83999999999969</v>
      </c>
    </row>
    <row r="46" spans="2:20" hidden="1" x14ac:dyDescent="0.3">
      <c r="C46" s="1">
        <v>42481</v>
      </c>
      <c r="D46" s="21" t="s">
        <v>57</v>
      </c>
      <c r="E46" s="117"/>
      <c r="F46" t="s">
        <v>67</v>
      </c>
      <c r="G46" s="11">
        <v>8</v>
      </c>
      <c r="H46" s="11">
        <v>0</v>
      </c>
      <c r="I46" s="11">
        <f t="shared" si="2"/>
        <v>8</v>
      </c>
      <c r="J46" s="7" t="s">
        <v>57</v>
      </c>
      <c r="L46" s="1">
        <v>42499</v>
      </c>
      <c r="M46" s="1"/>
      <c r="N46" s="5" t="s">
        <v>17</v>
      </c>
      <c r="O46" s="5"/>
      <c r="P46" s="11">
        <v>22289.43</v>
      </c>
      <c r="Q46" s="11"/>
      <c r="R46" s="11">
        <v>161.6</v>
      </c>
      <c r="S46" s="11">
        <v>21500</v>
      </c>
      <c r="T46" s="11">
        <f>T45-P46+R46+S46</f>
        <v>99.009999999998399</v>
      </c>
    </row>
    <row r="47" spans="2:20" hidden="1" x14ac:dyDescent="0.3">
      <c r="C47" s="1">
        <v>42487</v>
      </c>
      <c r="D47" s="21">
        <v>103</v>
      </c>
      <c r="E47" s="117"/>
      <c r="F47" t="s">
        <v>60</v>
      </c>
      <c r="G47" s="11">
        <v>525</v>
      </c>
      <c r="H47" s="11">
        <v>105</v>
      </c>
      <c r="I47" s="11">
        <f t="shared" si="2"/>
        <v>630</v>
      </c>
      <c r="J47" s="7">
        <v>201522</v>
      </c>
      <c r="L47" s="1">
        <v>42499</v>
      </c>
      <c r="M47" s="1"/>
      <c r="N47" s="5" t="s">
        <v>18</v>
      </c>
      <c r="O47" s="5"/>
      <c r="P47">
        <v>1790.29</v>
      </c>
      <c r="R47">
        <v>129.91999999999999</v>
      </c>
      <c r="S47">
        <v>2500</v>
      </c>
      <c r="T47" s="11">
        <f>T46-P47+R47+S47</f>
        <v>938.63999999999851</v>
      </c>
    </row>
    <row r="48" spans="2:20" hidden="1" x14ac:dyDescent="0.3">
      <c r="C48" s="1"/>
      <c r="D48" s="21"/>
      <c r="E48" s="117"/>
      <c r="G48" s="12">
        <f>SUM(G37:G47)</f>
        <v>1771.55</v>
      </c>
      <c r="H48" s="12">
        <f>SUM(H37:H47)</f>
        <v>244.67000000000002</v>
      </c>
      <c r="I48" s="12">
        <f>SUM(I37:I47)</f>
        <v>2016.22</v>
      </c>
      <c r="N48" s="5" t="s">
        <v>19</v>
      </c>
      <c r="O48" s="5"/>
      <c r="P48">
        <v>1256.95</v>
      </c>
      <c r="R48">
        <v>765.51</v>
      </c>
      <c r="S48">
        <v>0</v>
      </c>
      <c r="T48" s="11">
        <f>T47-P48+R48</f>
        <v>447.19999999999845</v>
      </c>
    </row>
    <row r="49" spans="3:20" hidden="1" x14ac:dyDescent="0.3">
      <c r="D49" s="21"/>
      <c r="E49" s="117"/>
      <c r="N49" s="5" t="s">
        <v>20</v>
      </c>
      <c r="O49" s="5"/>
      <c r="P49">
        <v>2823.77</v>
      </c>
      <c r="R49">
        <v>359.96</v>
      </c>
      <c r="S49">
        <v>3000</v>
      </c>
      <c r="T49" s="11">
        <f>T48-P49+R49+S49</f>
        <v>983.38999999999851</v>
      </c>
    </row>
    <row r="50" spans="3:20" hidden="1" x14ac:dyDescent="0.3">
      <c r="C50" s="1">
        <v>42493</v>
      </c>
      <c r="D50" s="21">
        <v>108</v>
      </c>
      <c r="E50" s="117"/>
      <c r="F50" t="s">
        <v>25</v>
      </c>
      <c r="G50" s="11">
        <v>6.6</v>
      </c>
      <c r="H50" s="11">
        <v>0</v>
      </c>
      <c r="I50" s="11">
        <v>6.6</v>
      </c>
      <c r="J50" s="7">
        <v>201523</v>
      </c>
      <c r="L50" s="1">
        <v>42528</v>
      </c>
      <c r="M50" s="1"/>
    </row>
    <row r="51" spans="3:20" hidden="1" x14ac:dyDescent="0.3">
      <c r="C51" s="1">
        <v>42493</v>
      </c>
      <c r="D51" s="21">
        <v>109</v>
      </c>
      <c r="E51" s="117"/>
      <c r="F51" t="s">
        <v>69</v>
      </c>
      <c r="G51" s="11">
        <v>30</v>
      </c>
      <c r="H51" s="11">
        <v>0</v>
      </c>
      <c r="I51" s="11">
        <v>30</v>
      </c>
      <c r="J51" s="7">
        <v>201524</v>
      </c>
      <c r="L51" s="1">
        <v>42528</v>
      </c>
      <c r="M51" s="1"/>
      <c r="P51">
        <f>SUM(P38:P50)</f>
        <v>51162.689999999988</v>
      </c>
      <c r="R51">
        <f>SUM(R38:R50)</f>
        <v>6148.38</v>
      </c>
      <c r="S51">
        <f>SUM(S38:S50)</f>
        <v>45500</v>
      </c>
    </row>
    <row r="52" spans="3:20" hidden="1" x14ac:dyDescent="0.3">
      <c r="C52" s="1">
        <v>42493</v>
      </c>
      <c r="D52" s="21">
        <v>110</v>
      </c>
      <c r="E52" s="117"/>
      <c r="F52" t="s">
        <v>70</v>
      </c>
      <c r="G52" s="11">
        <v>50</v>
      </c>
      <c r="H52" s="11">
        <v>0</v>
      </c>
      <c r="I52" s="11">
        <v>50</v>
      </c>
      <c r="J52" s="7">
        <v>201525</v>
      </c>
      <c r="L52" s="1">
        <v>42528</v>
      </c>
      <c r="M52" s="1"/>
    </row>
    <row r="53" spans="3:20" hidden="1" x14ac:dyDescent="0.3">
      <c r="C53" s="1">
        <v>42493</v>
      </c>
      <c r="D53" s="21">
        <v>111</v>
      </c>
      <c r="E53" s="117"/>
      <c r="F53" t="s">
        <v>71</v>
      </c>
      <c r="G53" s="11">
        <v>180</v>
      </c>
      <c r="H53" s="11">
        <v>0</v>
      </c>
      <c r="I53" s="11">
        <v>180</v>
      </c>
      <c r="J53" s="7">
        <v>201526</v>
      </c>
      <c r="L53" s="1">
        <v>42528</v>
      </c>
      <c r="M53" s="1"/>
    </row>
    <row r="54" spans="3:20" hidden="1" x14ac:dyDescent="0.3">
      <c r="C54" s="1">
        <v>42493</v>
      </c>
      <c r="D54" s="21">
        <v>112</v>
      </c>
      <c r="E54" s="117"/>
      <c r="F54" t="s">
        <v>72</v>
      </c>
      <c r="G54" s="11">
        <v>402.97</v>
      </c>
      <c r="H54" s="11">
        <v>0</v>
      </c>
      <c r="I54" s="11">
        <f t="shared" ref="I54:I64" si="3">G54+H54</f>
        <v>402.97</v>
      </c>
      <c r="J54" s="7">
        <v>201527</v>
      </c>
      <c r="L54" s="1">
        <v>42528</v>
      </c>
      <c r="M54" s="1"/>
    </row>
    <row r="55" spans="3:20" hidden="1" x14ac:dyDescent="0.3">
      <c r="C55" s="1">
        <v>42493</v>
      </c>
      <c r="D55" s="21">
        <v>113</v>
      </c>
      <c r="E55" s="117"/>
      <c r="F55" t="s">
        <v>73</v>
      </c>
      <c r="G55" s="11">
        <v>32.450000000000003</v>
      </c>
      <c r="H55" s="11">
        <v>0</v>
      </c>
      <c r="I55" s="11">
        <f t="shared" si="3"/>
        <v>32.450000000000003</v>
      </c>
      <c r="J55" s="7">
        <v>201528</v>
      </c>
      <c r="L55" s="1">
        <v>42528</v>
      </c>
      <c r="M55" s="1"/>
    </row>
    <row r="56" spans="3:20" hidden="1" x14ac:dyDescent="0.3">
      <c r="C56" s="1">
        <v>42493</v>
      </c>
      <c r="D56" s="21">
        <v>114</v>
      </c>
      <c r="E56" s="117"/>
      <c r="F56" t="s">
        <v>74</v>
      </c>
      <c r="G56" s="11">
        <v>100</v>
      </c>
      <c r="H56" s="11">
        <v>20</v>
      </c>
      <c r="I56" s="11">
        <f t="shared" si="3"/>
        <v>120</v>
      </c>
      <c r="J56" s="7">
        <v>201529</v>
      </c>
      <c r="L56" s="1">
        <v>42528</v>
      </c>
      <c r="M56" s="1"/>
    </row>
    <row r="57" spans="3:20" hidden="1" x14ac:dyDescent="0.3">
      <c r="C57" s="1">
        <v>42493</v>
      </c>
      <c r="D57" s="21">
        <v>115</v>
      </c>
      <c r="E57" s="117"/>
      <c r="F57" t="s">
        <v>75</v>
      </c>
      <c r="G57" s="11">
        <v>35</v>
      </c>
      <c r="H57" s="11">
        <v>0</v>
      </c>
      <c r="I57" s="11">
        <f t="shared" si="3"/>
        <v>35</v>
      </c>
      <c r="J57" s="7">
        <v>201530</v>
      </c>
      <c r="L57" s="1">
        <v>42528</v>
      </c>
      <c r="M57" s="1"/>
    </row>
    <row r="58" spans="3:20" hidden="1" x14ac:dyDescent="0.3">
      <c r="C58" s="1">
        <v>42493</v>
      </c>
      <c r="D58" s="21">
        <v>116</v>
      </c>
      <c r="E58" s="117"/>
      <c r="F58" t="s">
        <v>76</v>
      </c>
      <c r="G58" s="11">
        <v>35</v>
      </c>
      <c r="H58" s="11">
        <v>0</v>
      </c>
      <c r="I58" s="11">
        <f t="shared" si="3"/>
        <v>35</v>
      </c>
      <c r="J58" s="7">
        <v>201530</v>
      </c>
      <c r="L58" s="1">
        <v>42528</v>
      </c>
      <c r="M58" s="1"/>
    </row>
    <row r="59" spans="3:20" hidden="1" x14ac:dyDescent="0.3">
      <c r="C59" s="1">
        <v>42493</v>
      </c>
      <c r="D59" s="21">
        <v>117</v>
      </c>
      <c r="E59" s="117"/>
      <c r="F59" t="s">
        <v>77</v>
      </c>
      <c r="G59" s="11">
        <v>37.5</v>
      </c>
      <c r="H59" s="11">
        <v>0</v>
      </c>
      <c r="I59" s="11">
        <f t="shared" si="3"/>
        <v>37.5</v>
      </c>
      <c r="J59" s="7">
        <v>201531</v>
      </c>
      <c r="L59" s="10">
        <v>42555</v>
      </c>
      <c r="M59" s="10"/>
    </row>
    <row r="60" spans="3:20" hidden="1" x14ac:dyDescent="0.3">
      <c r="C60" s="1">
        <v>42493</v>
      </c>
      <c r="D60" s="21">
        <v>118</v>
      </c>
      <c r="E60" s="117"/>
      <c r="F60" t="s">
        <v>78</v>
      </c>
      <c r="G60" s="11">
        <v>42</v>
      </c>
      <c r="H60" s="11">
        <v>0</v>
      </c>
      <c r="I60" s="11">
        <f t="shared" si="3"/>
        <v>42</v>
      </c>
      <c r="J60" s="7">
        <v>201532</v>
      </c>
      <c r="L60" s="9"/>
      <c r="M60" s="9"/>
    </row>
    <row r="61" spans="3:20" hidden="1" x14ac:dyDescent="0.3">
      <c r="C61" s="1">
        <v>42493</v>
      </c>
      <c r="D61" s="21">
        <v>119</v>
      </c>
      <c r="E61" s="117"/>
      <c r="F61" t="s">
        <v>79</v>
      </c>
      <c r="G61" s="11">
        <v>6150</v>
      </c>
      <c r="H61" s="11">
        <v>1230</v>
      </c>
      <c r="I61" s="11">
        <f t="shared" si="3"/>
        <v>7380</v>
      </c>
      <c r="J61" s="7">
        <v>201533</v>
      </c>
      <c r="L61" s="1">
        <v>42528</v>
      </c>
      <c r="M61" s="1"/>
    </row>
    <row r="62" spans="3:20" hidden="1" x14ac:dyDescent="0.3">
      <c r="C62" s="1">
        <v>42493</v>
      </c>
      <c r="D62" s="21">
        <v>120</v>
      </c>
      <c r="E62" s="117"/>
      <c r="F62" t="s">
        <v>80</v>
      </c>
      <c r="G62" s="11">
        <v>278</v>
      </c>
      <c r="H62" s="11">
        <v>0</v>
      </c>
      <c r="I62" s="11">
        <f t="shared" si="3"/>
        <v>278</v>
      </c>
      <c r="J62" s="7">
        <v>201534</v>
      </c>
      <c r="L62" s="1">
        <v>42528</v>
      </c>
      <c r="M62" s="1"/>
    </row>
    <row r="63" spans="3:20" hidden="1" x14ac:dyDescent="0.3">
      <c r="C63" s="1">
        <v>42493</v>
      </c>
      <c r="D63" s="21">
        <v>121</v>
      </c>
      <c r="E63" s="117"/>
      <c r="F63" t="s">
        <v>81</v>
      </c>
      <c r="G63" s="11">
        <v>286.5</v>
      </c>
      <c r="H63" s="11">
        <v>57.3</v>
      </c>
      <c r="I63" s="11">
        <f t="shared" si="3"/>
        <v>343.8</v>
      </c>
      <c r="J63" s="7">
        <v>201535</v>
      </c>
      <c r="L63" s="1">
        <v>42528</v>
      </c>
      <c r="M63" s="1"/>
    </row>
    <row r="64" spans="3:20" hidden="1" x14ac:dyDescent="0.3">
      <c r="C64" s="1">
        <v>42493</v>
      </c>
      <c r="D64" s="21">
        <v>125</v>
      </c>
      <c r="E64" s="117"/>
      <c r="F64" t="s">
        <v>82</v>
      </c>
      <c r="G64" s="11">
        <v>395.03</v>
      </c>
      <c r="H64" s="11">
        <v>19.75</v>
      </c>
      <c r="I64" s="11">
        <f t="shared" si="3"/>
        <v>414.78</v>
      </c>
      <c r="J64" s="7">
        <v>201536</v>
      </c>
      <c r="L64" s="10">
        <v>42555</v>
      </c>
      <c r="M64" s="10"/>
    </row>
    <row r="65" spans="3:13" hidden="1" x14ac:dyDescent="0.3">
      <c r="D65" s="21"/>
      <c r="E65" s="117"/>
      <c r="G65" s="12">
        <f>SUM(G50:G64)</f>
        <v>8061.05</v>
      </c>
      <c r="H65" s="12">
        <f>SUM(H50:H64)</f>
        <v>1327.05</v>
      </c>
      <c r="I65" s="12">
        <f>SUM(I50:I64)</f>
        <v>9388.1</v>
      </c>
    </row>
    <row r="66" spans="3:13" hidden="1" x14ac:dyDescent="0.3">
      <c r="D66" s="21"/>
      <c r="E66" s="117"/>
    </row>
    <row r="67" spans="3:13" hidden="1" x14ac:dyDescent="0.3">
      <c r="C67" s="1">
        <v>42528</v>
      </c>
      <c r="D67" s="21">
        <v>122</v>
      </c>
      <c r="E67" s="117"/>
      <c r="F67" t="s">
        <v>83</v>
      </c>
      <c r="G67" s="11">
        <v>300</v>
      </c>
      <c r="H67" s="11">
        <v>0</v>
      </c>
      <c r="I67" s="11">
        <f t="shared" ref="I67:I78" si="4">G67+H67</f>
        <v>300</v>
      </c>
      <c r="J67" s="7">
        <v>201537</v>
      </c>
      <c r="L67" s="1">
        <v>42555</v>
      </c>
      <c r="M67" s="1"/>
    </row>
    <row r="68" spans="3:13" hidden="1" x14ac:dyDescent="0.3">
      <c r="C68" s="1">
        <v>42528</v>
      </c>
      <c r="D68" s="21">
        <v>123</v>
      </c>
      <c r="E68" s="117"/>
      <c r="F68" t="s">
        <v>25</v>
      </c>
      <c r="G68" s="11">
        <v>19.8</v>
      </c>
      <c r="H68" s="11">
        <v>0</v>
      </c>
      <c r="I68" s="11">
        <f t="shared" si="4"/>
        <v>19.8</v>
      </c>
      <c r="J68" s="7">
        <v>201538</v>
      </c>
      <c r="L68" s="1">
        <v>42555</v>
      </c>
      <c r="M68" s="1"/>
    </row>
    <row r="69" spans="3:13" hidden="1" x14ac:dyDescent="0.3">
      <c r="C69" s="1">
        <v>42528</v>
      </c>
      <c r="D69" s="21">
        <v>124</v>
      </c>
      <c r="E69" s="117"/>
      <c r="F69" t="s">
        <v>84</v>
      </c>
      <c r="G69" s="11">
        <v>15</v>
      </c>
      <c r="H69" s="11">
        <v>0</v>
      </c>
      <c r="I69" s="11">
        <f t="shared" si="4"/>
        <v>15</v>
      </c>
      <c r="J69" s="7">
        <v>201539</v>
      </c>
      <c r="L69" s="1">
        <v>42585</v>
      </c>
      <c r="M69" s="1"/>
    </row>
    <row r="70" spans="3:13" hidden="1" x14ac:dyDescent="0.3">
      <c r="C70" s="1">
        <v>42528</v>
      </c>
      <c r="D70" s="21">
        <v>126</v>
      </c>
      <c r="E70" s="117"/>
      <c r="F70" t="s">
        <v>85</v>
      </c>
      <c r="G70" s="11">
        <v>167.19</v>
      </c>
      <c r="H70" s="11">
        <v>33.44</v>
      </c>
      <c r="I70" s="11">
        <f t="shared" si="4"/>
        <v>200.63</v>
      </c>
      <c r="J70" s="7">
        <v>201540</v>
      </c>
      <c r="L70" s="1">
        <v>42555</v>
      </c>
      <c r="M70" s="1"/>
    </row>
    <row r="71" spans="3:13" hidden="1" x14ac:dyDescent="0.3">
      <c r="C71" s="1">
        <v>42528</v>
      </c>
      <c r="D71" s="21">
        <v>127</v>
      </c>
      <c r="E71" s="117"/>
      <c r="F71" t="s">
        <v>86</v>
      </c>
      <c r="G71" s="11">
        <v>185</v>
      </c>
      <c r="H71" s="11">
        <v>37</v>
      </c>
      <c r="I71" s="11">
        <f t="shared" si="4"/>
        <v>222</v>
      </c>
      <c r="J71" s="7">
        <v>201541</v>
      </c>
      <c r="L71" s="1">
        <v>42555</v>
      </c>
      <c r="M71" s="1"/>
    </row>
    <row r="72" spans="3:13" hidden="1" x14ac:dyDescent="0.3">
      <c r="C72" s="1">
        <v>42528</v>
      </c>
      <c r="D72" s="21">
        <v>128</v>
      </c>
      <c r="E72" s="117"/>
      <c r="F72" t="s">
        <v>87</v>
      </c>
      <c r="G72" s="11">
        <v>41.3</v>
      </c>
      <c r="H72" s="11">
        <v>8.26</v>
      </c>
      <c r="I72" s="11">
        <f t="shared" si="4"/>
        <v>49.559999999999995</v>
      </c>
      <c r="J72" s="7">
        <v>201542</v>
      </c>
      <c r="L72" s="1">
        <v>42555</v>
      </c>
      <c r="M72" s="1"/>
    </row>
    <row r="73" spans="3:13" hidden="1" x14ac:dyDescent="0.3">
      <c r="C73" s="1">
        <v>42528</v>
      </c>
      <c r="D73" s="21">
        <v>129</v>
      </c>
      <c r="E73" s="117"/>
      <c r="F73" t="s">
        <v>88</v>
      </c>
      <c r="G73" s="11">
        <v>402.97</v>
      </c>
      <c r="H73" s="11">
        <v>0</v>
      </c>
      <c r="I73" s="11">
        <f t="shared" si="4"/>
        <v>402.97</v>
      </c>
      <c r="J73" s="7">
        <v>201543</v>
      </c>
      <c r="L73" s="1">
        <v>42555</v>
      </c>
      <c r="M73" s="1"/>
    </row>
    <row r="74" spans="3:13" hidden="1" x14ac:dyDescent="0.3">
      <c r="C74" s="1">
        <v>42528</v>
      </c>
      <c r="D74" s="21">
        <v>130</v>
      </c>
      <c r="E74" s="117"/>
      <c r="F74" t="s">
        <v>89</v>
      </c>
      <c r="G74" s="11">
        <v>230</v>
      </c>
      <c r="H74" s="11">
        <v>0</v>
      </c>
      <c r="I74" s="11">
        <f t="shared" si="4"/>
        <v>230</v>
      </c>
      <c r="J74" s="7">
        <v>201544</v>
      </c>
      <c r="L74" s="1">
        <v>42555</v>
      </c>
      <c r="M74" s="1"/>
    </row>
    <row r="75" spans="3:13" hidden="1" x14ac:dyDescent="0.3">
      <c r="C75" s="1">
        <v>42528</v>
      </c>
      <c r="D75" s="21">
        <v>131</v>
      </c>
      <c r="E75" s="117"/>
      <c r="F75" t="s">
        <v>90</v>
      </c>
      <c r="G75" s="11">
        <v>604</v>
      </c>
      <c r="H75" s="11">
        <v>0</v>
      </c>
      <c r="I75" s="11">
        <f t="shared" si="4"/>
        <v>604</v>
      </c>
      <c r="J75" s="7">
        <v>201545</v>
      </c>
      <c r="L75" s="1">
        <v>42555</v>
      </c>
      <c r="M75" s="1"/>
    </row>
    <row r="76" spans="3:13" hidden="1" x14ac:dyDescent="0.3">
      <c r="C76" s="1">
        <v>42528</v>
      </c>
      <c r="D76" s="21">
        <v>132</v>
      </c>
      <c r="E76" s="117"/>
      <c r="F76" t="s">
        <v>91</v>
      </c>
      <c r="G76" s="11">
        <v>12.25</v>
      </c>
      <c r="H76" s="11">
        <v>0</v>
      </c>
      <c r="I76" s="11">
        <f t="shared" si="4"/>
        <v>12.25</v>
      </c>
      <c r="J76" s="7">
        <v>201547</v>
      </c>
      <c r="L76" s="1">
        <v>42585</v>
      </c>
      <c r="M76" s="1"/>
    </row>
    <row r="77" spans="3:13" hidden="1" x14ac:dyDescent="0.3">
      <c r="C77" s="1">
        <v>42528</v>
      </c>
      <c r="D77" s="21">
        <v>133</v>
      </c>
      <c r="E77" s="117"/>
      <c r="F77" t="s">
        <v>92</v>
      </c>
      <c r="G77" s="11">
        <v>40.25</v>
      </c>
      <c r="H77" s="11">
        <v>0</v>
      </c>
      <c r="I77" s="11">
        <f t="shared" si="4"/>
        <v>40.25</v>
      </c>
      <c r="J77" s="7">
        <v>201548</v>
      </c>
      <c r="L77" s="9">
        <v>42646</v>
      </c>
      <c r="M77" s="9"/>
    </row>
    <row r="78" spans="3:13" hidden="1" x14ac:dyDescent="0.3">
      <c r="C78" s="1">
        <v>42528</v>
      </c>
      <c r="D78" s="21">
        <v>119</v>
      </c>
      <c r="E78" s="117"/>
      <c r="F78" t="s">
        <v>79</v>
      </c>
      <c r="G78" s="11">
        <v>500</v>
      </c>
      <c r="H78" s="11">
        <v>100</v>
      </c>
      <c r="I78" s="11">
        <f t="shared" si="4"/>
        <v>600</v>
      </c>
      <c r="J78" s="7">
        <v>201546</v>
      </c>
      <c r="L78" s="1">
        <v>42585</v>
      </c>
      <c r="M78" s="1"/>
    </row>
    <row r="79" spans="3:13" s="5" customFormat="1" hidden="1" x14ac:dyDescent="0.3">
      <c r="D79" s="22"/>
      <c r="E79" s="113"/>
      <c r="G79" s="12">
        <f>SUM(G67:G78)</f>
        <v>2517.7600000000002</v>
      </c>
      <c r="H79" s="12">
        <f>SUM(H67:H78)</f>
        <v>178.7</v>
      </c>
      <c r="I79" s="12">
        <f>SUM(I67:I78)</f>
        <v>2696.46</v>
      </c>
      <c r="J79" s="16"/>
      <c r="K79" s="8"/>
    </row>
    <row r="80" spans="3:13" hidden="1" x14ac:dyDescent="0.3">
      <c r="C80" s="1">
        <v>42555</v>
      </c>
      <c r="D80" s="21">
        <v>134</v>
      </c>
      <c r="E80" s="117"/>
      <c r="F80" t="s">
        <v>88</v>
      </c>
      <c r="G80" s="11">
        <v>405.36</v>
      </c>
      <c r="H80" s="11">
        <v>0</v>
      </c>
      <c r="I80" s="11">
        <f>G80+H80</f>
        <v>405.36</v>
      </c>
      <c r="J80" s="7">
        <v>201549</v>
      </c>
      <c r="L80" s="1">
        <v>42585</v>
      </c>
      <c r="M80" s="1"/>
    </row>
    <row r="81" spans="3:13" hidden="1" x14ac:dyDescent="0.3">
      <c r="C81" s="1">
        <v>42555</v>
      </c>
      <c r="D81" s="21">
        <v>134</v>
      </c>
      <c r="E81" s="117"/>
      <c r="F81" t="s">
        <v>103</v>
      </c>
      <c r="G81" s="11">
        <v>9.09</v>
      </c>
      <c r="H81" s="11">
        <v>0</v>
      </c>
      <c r="I81" s="11">
        <v>9.09</v>
      </c>
      <c r="J81" s="7">
        <v>201549</v>
      </c>
      <c r="L81" s="1">
        <v>42585</v>
      </c>
      <c r="M81" s="1"/>
    </row>
    <row r="82" spans="3:13" hidden="1" x14ac:dyDescent="0.3">
      <c r="C82" s="1">
        <v>42555</v>
      </c>
      <c r="D82" s="21">
        <v>135</v>
      </c>
      <c r="E82" s="117"/>
      <c r="F82" t="s">
        <v>93</v>
      </c>
      <c r="G82" s="11">
        <v>20.38</v>
      </c>
      <c r="H82" s="11">
        <v>4.08</v>
      </c>
      <c r="I82" s="11">
        <f t="shared" ref="I82:I93" si="5">G82+H82</f>
        <v>24.46</v>
      </c>
      <c r="J82" s="7">
        <v>201550</v>
      </c>
      <c r="L82" s="1">
        <v>42585</v>
      </c>
      <c r="M82" s="1"/>
    </row>
    <row r="83" spans="3:13" hidden="1" x14ac:dyDescent="0.3">
      <c r="C83" s="1">
        <v>42555</v>
      </c>
      <c r="D83" s="21">
        <v>136</v>
      </c>
      <c r="E83" s="117"/>
      <c r="F83" t="s">
        <v>94</v>
      </c>
      <c r="G83" s="11">
        <v>44.58</v>
      </c>
      <c r="H83" s="11">
        <v>8.92</v>
      </c>
      <c r="I83" s="11">
        <f t="shared" si="5"/>
        <v>53.5</v>
      </c>
      <c r="J83" s="7">
        <v>201551</v>
      </c>
      <c r="L83" s="1">
        <v>42585</v>
      </c>
      <c r="M83" s="1"/>
    </row>
    <row r="84" spans="3:13" hidden="1" x14ac:dyDescent="0.3">
      <c r="C84" s="1">
        <v>42555</v>
      </c>
      <c r="D84" s="21">
        <v>137</v>
      </c>
      <c r="E84" s="117"/>
      <c r="F84" t="s">
        <v>39</v>
      </c>
      <c r="G84" s="11">
        <v>180</v>
      </c>
      <c r="H84" s="11">
        <v>0</v>
      </c>
      <c r="I84" s="11">
        <f t="shared" si="5"/>
        <v>180</v>
      </c>
      <c r="J84" s="7">
        <v>201552</v>
      </c>
      <c r="L84" s="1">
        <v>42585</v>
      </c>
      <c r="M84" s="1"/>
    </row>
    <row r="85" spans="3:13" hidden="1" x14ac:dyDescent="0.3">
      <c r="C85" s="1">
        <v>42555</v>
      </c>
      <c r="D85" s="21">
        <v>138</v>
      </c>
      <c r="E85" s="117"/>
      <c r="F85" t="s">
        <v>95</v>
      </c>
      <c r="G85" s="11">
        <v>185</v>
      </c>
      <c r="H85" s="11">
        <v>37</v>
      </c>
      <c r="I85" s="11">
        <f t="shared" si="5"/>
        <v>222</v>
      </c>
      <c r="J85" s="7">
        <v>201553</v>
      </c>
      <c r="L85" s="1">
        <v>42585</v>
      </c>
      <c r="M85" s="1"/>
    </row>
    <row r="86" spans="3:13" hidden="1" x14ac:dyDescent="0.3">
      <c r="C86" s="1">
        <v>42555</v>
      </c>
      <c r="D86" s="21">
        <v>139</v>
      </c>
      <c r="E86" s="117"/>
      <c r="F86" t="s">
        <v>78</v>
      </c>
      <c r="G86" s="11">
        <v>157.51</v>
      </c>
      <c r="H86" s="11">
        <v>0</v>
      </c>
      <c r="I86" s="11">
        <f t="shared" si="5"/>
        <v>157.51</v>
      </c>
      <c r="J86" s="7">
        <v>201562</v>
      </c>
      <c r="L86" s="1">
        <v>42585</v>
      </c>
      <c r="M86" s="1"/>
    </row>
    <row r="87" spans="3:13" hidden="1" x14ac:dyDescent="0.3">
      <c r="C87" s="1">
        <v>42555</v>
      </c>
      <c r="D87" s="21">
        <v>140</v>
      </c>
      <c r="E87" s="117"/>
      <c r="F87" t="s">
        <v>96</v>
      </c>
      <c r="G87" s="11">
        <v>255.52</v>
      </c>
      <c r="H87" s="11">
        <v>51.1</v>
      </c>
      <c r="I87" s="11">
        <f t="shared" si="5"/>
        <v>306.62</v>
      </c>
      <c r="J87" s="7">
        <v>201555</v>
      </c>
      <c r="L87" s="1">
        <v>42585</v>
      </c>
      <c r="M87" s="1"/>
    </row>
    <row r="88" spans="3:13" hidden="1" x14ac:dyDescent="0.3">
      <c r="C88" s="1">
        <v>42555</v>
      </c>
      <c r="D88" s="21">
        <v>141</v>
      </c>
      <c r="E88" s="117"/>
      <c r="F88" t="s">
        <v>97</v>
      </c>
      <c r="G88" s="11">
        <v>20.2</v>
      </c>
      <c r="H88" s="11">
        <v>4.05</v>
      </c>
      <c r="I88" s="11">
        <f t="shared" si="5"/>
        <v>24.25</v>
      </c>
      <c r="J88" s="7">
        <v>201556</v>
      </c>
      <c r="L88" s="1">
        <v>42585</v>
      </c>
      <c r="M88" s="1"/>
    </row>
    <row r="89" spans="3:13" hidden="1" x14ac:dyDescent="0.3">
      <c r="C89" s="1">
        <v>42555</v>
      </c>
      <c r="D89" s="21">
        <v>142</v>
      </c>
      <c r="E89" s="117"/>
      <c r="F89" t="s">
        <v>98</v>
      </c>
      <c r="G89" s="11">
        <v>41.32</v>
      </c>
      <c r="H89" s="11">
        <v>0</v>
      </c>
      <c r="I89" s="11">
        <f t="shared" si="5"/>
        <v>41.32</v>
      </c>
      <c r="J89" s="7">
        <v>201557</v>
      </c>
      <c r="L89" s="1">
        <v>42585</v>
      </c>
      <c r="M89" s="1"/>
    </row>
    <row r="90" spans="3:13" hidden="1" x14ac:dyDescent="0.3">
      <c r="C90" s="1">
        <v>42555</v>
      </c>
      <c r="D90" s="21">
        <v>143</v>
      </c>
      <c r="E90" s="117"/>
      <c r="F90" t="s">
        <v>99</v>
      </c>
      <c r="G90" s="11">
        <v>335</v>
      </c>
      <c r="H90" s="11">
        <v>0</v>
      </c>
      <c r="I90" s="11">
        <f t="shared" si="5"/>
        <v>335</v>
      </c>
      <c r="J90" s="7">
        <v>201558</v>
      </c>
      <c r="L90" s="1">
        <v>42585</v>
      </c>
      <c r="M90" s="1"/>
    </row>
    <row r="91" spans="3:13" hidden="1" x14ac:dyDescent="0.3">
      <c r="C91" s="1">
        <v>42555</v>
      </c>
      <c r="D91" s="21">
        <v>144</v>
      </c>
      <c r="E91" s="117"/>
      <c r="F91" t="s">
        <v>100</v>
      </c>
      <c r="G91" s="11">
        <v>5</v>
      </c>
      <c r="H91" s="11">
        <v>0</v>
      </c>
      <c r="I91" s="11">
        <f t="shared" si="5"/>
        <v>5</v>
      </c>
      <c r="J91" s="7">
        <v>201559</v>
      </c>
      <c r="L91" s="9">
        <v>42618</v>
      </c>
      <c r="M91" s="9"/>
    </row>
    <row r="92" spans="3:13" hidden="1" x14ac:dyDescent="0.3">
      <c r="C92" s="1">
        <v>42555</v>
      </c>
      <c r="D92" s="21">
        <v>145</v>
      </c>
      <c r="E92" s="117"/>
      <c r="F92" t="s">
        <v>101</v>
      </c>
      <c r="G92" s="11">
        <v>103</v>
      </c>
      <c r="H92" s="11">
        <v>0</v>
      </c>
      <c r="I92" s="11">
        <f t="shared" si="5"/>
        <v>103</v>
      </c>
      <c r="J92" s="7">
        <v>201560</v>
      </c>
      <c r="L92" s="1">
        <v>42585</v>
      </c>
      <c r="M92" s="1"/>
    </row>
    <row r="93" spans="3:13" hidden="1" x14ac:dyDescent="0.3">
      <c r="C93" s="1">
        <v>42555</v>
      </c>
      <c r="D93" s="21">
        <v>146</v>
      </c>
      <c r="E93" s="117"/>
      <c r="F93" t="s">
        <v>102</v>
      </c>
      <c r="G93" s="11">
        <v>27.5</v>
      </c>
      <c r="H93" s="11">
        <v>0</v>
      </c>
      <c r="I93" s="11">
        <f t="shared" si="5"/>
        <v>27.5</v>
      </c>
      <c r="J93" s="7">
        <v>201561</v>
      </c>
      <c r="L93" s="1">
        <v>42585</v>
      </c>
      <c r="M93" s="1"/>
    </row>
    <row r="94" spans="3:13" hidden="1" x14ac:dyDescent="0.3">
      <c r="C94" s="1"/>
      <c r="D94" s="21"/>
      <c r="E94" s="117"/>
      <c r="G94" s="12">
        <f>SUM(G80:G93)</f>
        <v>1789.46</v>
      </c>
      <c r="H94" s="12">
        <f>SUM(H80:H93)</f>
        <v>105.14999999999999</v>
      </c>
      <c r="I94" s="12">
        <f>SUM(I80:I93)</f>
        <v>1894.61</v>
      </c>
    </row>
    <row r="95" spans="3:13" hidden="1" x14ac:dyDescent="0.3">
      <c r="C95" s="1">
        <v>42584</v>
      </c>
      <c r="D95" s="21">
        <v>147</v>
      </c>
      <c r="E95" s="117"/>
      <c r="F95" t="s">
        <v>104</v>
      </c>
      <c r="G95" s="11">
        <v>7.25</v>
      </c>
      <c r="H95" s="11">
        <v>0</v>
      </c>
      <c r="I95" s="11">
        <v>7.25</v>
      </c>
      <c r="J95" s="7">
        <v>201563</v>
      </c>
      <c r="L95" s="1">
        <v>42618</v>
      </c>
      <c r="M95" s="1"/>
    </row>
    <row r="96" spans="3:13" hidden="1" x14ac:dyDescent="0.3">
      <c r="C96" s="1">
        <v>42584</v>
      </c>
      <c r="D96" s="21">
        <v>147</v>
      </c>
      <c r="E96" s="117"/>
      <c r="F96" t="s">
        <v>88</v>
      </c>
      <c r="G96" s="11">
        <v>392.27</v>
      </c>
      <c r="H96" s="11">
        <v>0</v>
      </c>
      <c r="I96" s="11">
        <v>392.27</v>
      </c>
      <c r="J96" s="7">
        <v>201564</v>
      </c>
      <c r="L96" s="1">
        <v>42618</v>
      </c>
      <c r="M96" s="1"/>
    </row>
    <row r="97" spans="3:13" hidden="1" x14ac:dyDescent="0.3">
      <c r="C97" s="1">
        <v>42584</v>
      </c>
      <c r="D97" s="21">
        <v>148</v>
      </c>
      <c r="E97" s="117"/>
      <c r="F97" t="s">
        <v>103</v>
      </c>
      <c r="G97" s="11">
        <v>15.07</v>
      </c>
      <c r="H97" s="11">
        <v>0</v>
      </c>
      <c r="I97" s="11">
        <v>15.07</v>
      </c>
      <c r="J97" s="7">
        <v>201564</v>
      </c>
      <c r="L97" s="1">
        <v>42618</v>
      </c>
      <c r="M97" s="1"/>
    </row>
    <row r="98" spans="3:13" hidden="1" x14ac:dyDescent="0.3">
      <c r="C98" s="1">
        <v>42584</v>
      </c>
      <c r="D98" s="21">
        <v>149</v>
      </c>
      <c r="E98" s="117"/>
      <c r="F98" t="s">
        <v>39</v>
      </c>
      <c r="G98" s="11">
        <v>180</v>
      </c>
      <c r="H98" s="11">
        <v>0</v>
      </c>
      <c r="I98" s="11">
        <v>180</v>
      </c>
      <c r="J98" s="7">
        <v>201565</v>
      </c>
      <c r="L98" s="1">
        <v>42618</v>
      </c>
      <c r="M98" s="1"/>
    </row>
    <row r="99" spans="3:13" hidden="1" x14ac:dyDescent="0.3">
      <c r="C99" s="1">
        <v>42584</v>
      </c>
      <c r="D99" s="21">
        <v>150</v>
      </c>
      <c r="E99" s="117"/>
      <c r="F99" t="s">
        <v>105</v>
      </c>
      <c r="G99" s="11">
        <v>380.05</v>
      </c>
      <c r="H99" s="11">
        <v>19</v>
      </c>
      <c r="I99" s="11">
        <v>399.05</v>
      </c>
      <c r="J99" s="7">
        <v>201566</v>
      </c>
      <c r="L99" s="1">
        <v>42618</v>
      </c>
      <c r="M99" s="1"/>
    </row>
    <row r="100" spans="3:13" s="5" customFormat="1" hidden="1" x14ac:dyDescent="0.3">
      <c r="C100" s="8"/>
      <c r="D100" s="22"/>
      <c r="E100" s="113"/>
      <c r="G100" s="12">
        <f>SUM(G95:G99)</f>
        <v>974.63999999999987</v>
      </c>
      <c r="H100" s="12">
        <f>SUM(H95:H99)</f>
        <v>19</v>
      </c>
      <c r="I100" s="12">
        <f>SUM(I95:I99)</f>
        <v>993.63999999999987</v>
      </c>
      <c r="J100" s="16"/>
      <c r="K100" s="8"/>
      <c r="L100" s="8"/>
      <c r="M100" s="8"/>
    </row>
    <row r="101" spans="3:13" hidden="1" x14ac:dyDescent="0.3">
      <c r="C101" s="1">
        <v>42614</v>
      </c>
      <c r="D101" s="21">
        <v>151</v>
      </c>
      <c r="E101" s="117"/>
      <c r="F101" t="s">
        <v>78</v>
      </c>
      <c r="G101" s="11">
        <v>147</v>
      </c>
      <c r="H101" s="11">
        <v>0</v>
      </c>
      <c r="I101" s="11">
        <v>147</v>
      </c>
      <c r="J101" s="7">
        <v>201567</v>
      </c>
      <c r="L101" s="1">
        <v>42646</v>
      </c>
      <c r="M101" s="1"/>
    </row>
    <row r="102" spans="3:13" hidden="1" x14ac:dyDescent="0.3">
      <c r="C102" s="1">
        <v>42614</v>
      </c>
      <c r="D102" s="21">
        <v>152</v>
      </c>
      <c r="E102" s="117"/>
      <c r="F102" t="s">
        <v>39</v>
      </c>
      <c r="G102" s="11">
        <v>180</v>
      </c>
      <c r="H102" s="11">
        <v>0</v>
      </c>
      <c r="I102" s="11">
        <v>180</v>
      </c>
      <c r="J102" s="7">
        <v>201568</v>
      </c>
      <c r="L102" s="1">
        <v>42646</v>
      </c>
      <c r="M102" s="1"/>
    </row>
    <row r="103" spans="3:13" hidden="1" x14ac:dyDescent="0.3">
      <c r="C103" s="1">
        <v>42614</v>
      </c>
      <c r="D103" s="21">
        <v>153</v>
      </c>
      <c r="E103" s="117"/>
      <c r="F103" t="s">
        <v>106</v>
      </c>
      <c r="G103" s="11">
        <v>40.5</v>
      </c>
      <c r="H103" s="11">
        <v>0</v>
      </c>
      <c r="I103" s="11">
        <v>40.5</v>
      </c>
      <c r="J103" s="7">
        <v>201569</v>
      </c>
      <c r="L103" s="1">
        <v>42646</v>
      </c>
      <c r="M103" s="1"/>
    </row>
    <row r="104" spans="3:13" hidden="1" x14ac:dyDescent="0.3">
      <c r="C104" s="1">
        <v>42614</v>
      </c>
      <c r="D104" s="21">
        <v>154</v>
      </c>
      <c r="E104" s="117"/>
      <c r="F104" t="s">
        <v>107</v>
      </c>
      <c r="G104" s="11">
        <v>392.27</v>
      </c>
      <c r="H104" s="11">
        <v>0</v>
      </c>
      <c r="I104" s="11">
        <v>392.27</v>
      </c>
      <c r="J104" s="7">
        <v>201570</v>
      </c>
      <c r="L104" s="1">
        <v>42646</v>
      </c>
      <c r="M104" s="1"/>
    </row>
    <row r="105" spans="3:13" hidden="1" x14ac:dyDescent="0.3">
      <c r="C105" s="1">
        <v>42614</v>
      </c>
      <c r="D105" s="21">
        <v>154</v>
      </c>
      <c r="E105" s="117"/>
      <c r="F105" t="s">
        <v>108</v>
      </c>
      <c r="G105" s="11">
        <v>15.07</v>
      </c>
      <c r="H105" s="11">
        <v>0</v>
      </c>
      <c r="I105" s="11">
        <v>15.07</v>
      </c>
      <c r="J105" s="7">
        <v>201570</v>
      </c>
      <c r="L105" s="1">
        <v>42646</v>
      </c>
      <c r="M105" s="1"/>
    </row>
    <row r="106" spans="3:13" hidden="1" x14ac:dyDescent="0.3">
      <c r="C106" s="1">
        <v>42614</v>
      </c>
      <c r="D106" s="21">
        <v>155</v>
      </c>
      <c r="E106" s="117"/>
      <c r="F106" t="s">
        <v>109</v>
      </c>
      <c r="G106" s="11">
        <v>9.99</v>
      </c>
      <c r="H106" s="11">
        <v>0</v>
      </c>
      <c r="I106" s="11">
        <v>9.99</v>
      </c>
      <c r="J106" s="7">
        <v>201571</v>
      </c>
      <c r="L106" s="1">
        <v>42646</v>
      </c>
      <c r="M106" s="1"/>
    </row>
    <row r="107" spans="3:13" hidden="1" x14ac:dyDescent="0.3">
      <c r="C107" s="1">
        <v>42614</v>
      </c>
      <c r="D107" s="21">
        <v>156</v>
      </c>
      <c r="E107" s="117"/>
      <c r="F107" t="s">
        <v>110</v>
      </c>
      <c r="G107" s="11">
        <v>29.5</v>
      </c>
      <c r="H107" s="11">
        <v>5.9</v>
      </c>
      <c r="I107" s="11">
        <f>SUM(G107:H107)</f>
        <v>35.4</v>
      </c>
      <c r="J107" s="7">
        <v>201572</v>
      </c>
      <c r="L107" s="1">
        <v>42646</v>
      </c>
      <c r="M107" s="1"/>
    </row>
    <row r="108" spans="3:13" hidden="1" x14ac:dyDescent="0.3">
      <c r="C108" s="1">
        <v>42614</v>
      </c>
      <c r="D108" s="21">
        <v>157</v>
      </c>
      <c r="E108" s="117"/>
      <c r="F108" t="s">
        <v>86</v>
      </c>
      <c r="G108" s="11">
        <v>555</v>
      </c>
      <c r="H108" s="11">
        <v>111</v>
      </c>
      <c r="I108" s="11">
        <v>666</v>
      </c>
      <c r="J108" s="7">
        <v>201573</v>
      </c>
      <c r="L108" s="1">
        <v>42646</v>
      </c>
      <c r="M108" s="1"/>
    </row>
    <row r="109" spans="3:13" hidden="1" x14ac:dyDescent="0.3">
      <c r="C109" s="1">
        <v>42614</v>
      </c>
      <c r="D109" s="21">
        <v>158</v>
      </c>
      <c r="E109" s="117"/>
      <c r="F109" t="s">
        <v>81</v>
      </c>
      <c r="G109" s="11">
        <v>15.4</v>
      </c>
      <c r="H109" s="11">
        <v>3.08</v>
      </c>
      <c r="I109" s="11">
        <v>18.48</v>
      </c>
      <c r="J109" s="7">
        <v>201574</v>
      </c>
      <c r="L109" s="1">
        <v>42646</v>
      </c>
      <c r="M109" s="1"/>
    </row>
    <row r="110" spans="3:13" hidden="1" x14ac:dyDescent="0.3">
      <c r="C110" s="1">
        <v>42614</v>
      </c>
      <c r="D110" s="21">
        <v>159</v>
      </c>
      <c r="E110" s="117"/>
      <c r="F110" t="s">
        <v>111</v>
      </c>
      <c r="G110" s="11">
        <v>20</v>
      </c>
      <c r="H110" s="11">
        <v>0</v>
      </c>
      <c r="I110" s="11">
        <v>20</v>
      </c>
      <c r="J110" s="7">
        <v>201575</v>
      </c>
      <c r="L110" s="1">
        <v>42646</v>
      </c>
      <c r="M110" s="1"/>
    </row>
    <row r="111" spans="3:13" hidden="1" x14ac:dyDescent="0.3">
      <c r="C111" s="1">
        <v>42614</v>
      </c>
      <c r="D111" s="21">
        <v>160</v>
      </c>
      <c r="E111" s="117"/>
      <c r="F111" t="s">
        <v>112</v>
      </c>
      <c r="G111" s="11">
        <v>210</v>
      </c>
      <c r="H111" s="11">
        <v>42</v>
      </c>
      <c r="I111" s="11">
        <v>252</v>
      </c>
      <c r="J111" s="7">
        <v>201576</v>
      </c>
      <c r="L111" s="1">
        <v>42646</v>
      </c>
      <c r="M111" s="1"/>
    </row>
    <row r="112" spans="3:13" s="5" customFormat="1" hidden="1" x14ac:dyDescent="0.3">
      <c r="C112" s="8"/>
      <c r="D112" s="22"/>
      <c r="E112" s="113"/>
      <c r="G112" s="12">
        <f>SUM(G101:G111)</f>
        <v>1614.73</v>
      </c>
      <c r="H112" s="12">
        <f>SUM(H101:H111)</f>
        <v>161.98000000000002</v>
      </c>
      <c r="I112" s="12">
        <f>SUM(I101:I111)</f>
        <v>1776.71</v>
      </c>
      <c r="J112" s="16"/>
      <c r="K112" s="8"/>
    </row>
    <row r="113" spans="3:13" hidden="1" x14ac:dyDescent="0.3">
      <c r="C113" s="1">
        <v>42646</v>
      </c>
      <c r="D113" s="21">
        <v>161</v>
      </c>
      <c r="E113" s="117"/>
      <c r="F113" t="s">
        <v>39</v>
      </c>
      <c r="G113" s="11">
        <v>180</v>
      </c>
      <c r="H113" s="11">
        <v>0</v>
      </c>
      <c r="I113" s="11">
        <v>180</v>
      </c>
      <c r="J113" s="7">
        <v>201577</v>
      </c>
      <c r="L113" s="1">
        <v>42675</v>
      </c>
      <c r="M113" s="1"/>
    </row>
    <row r="114" spans="3:13" hidden="1" x14ac:dyDescent="0.3">
      <c r="C114" s="1">
        <v>42646</v>
      </c>
      <c r="D114" s="21">
        <v>162</v>
      </c>
      <c r="E114" s="117"/>
      <c r="F114" t="s">
        <v>97</v>
      </c>
      <c r="G114" s="11">
        <v>60</v>
      </c>
      <c r="H114" s="11">
        <v>12</v>
      </c>
      <c r="I114" s="11">
        <v>72</v>
      </c>
      <c r="J114" s="7">
        <v>201578</v>
      </c>
      <c r="L114" s="1">
        <v>42675</v>
      </c>
      <c r="M114" s="1"/>
    </row>
    <row r="115" spans="3:13" hidden="1" x14ac:dyDescent="0.3">
      <c r="C115" s="1">
        <v>42646</v>
      </c>
      <c r="D115" s="21">
        <v>163</v>
      </c>
      <c r="E115" s="117"/>
      <c r="F115" t="s">
        <v>107</v>
      </c>
      <c r="G115" s="11">
        <v>392.27</v>
      </c>
      <c r="H115" s="11">
        <v>0</v>
      </c>
      <c r="I115" s="11">
        <v>392.27</v>
      </c>
      <c r="J115" s="7">
        <v>201579</v>
      </c>
      <c r="L115" s="1">
        <v>42675</v>
      </c>
      <c r="M115" s="1"/>
    </row>
    <row r="116" spans="3:13" hidden="1" x14ac:dyDescent="0.3">
      <c r="C116" s="1">
        <v>42646</v>
      </c>
      <c r="D116" s="21">
        <v>163</v>
      </c>
      <c r="E116" s="117"/>
      <c r="F116" t="s">
        <v>108</v>
      </c>
      <c r="G116" s="11">
        <v>15.07</v>
      </c>
      <c r="H116" s="11">
        <v>0</v>
      </c>
      <c r="I116" s="11">
        <v>15.07</v>
      </c>
      <c r="J116" s="7">
        <v>201579</v>
      </c>
      <c r="L116" s="1">
        <v>42675</v>
      </c>
      <c r="M116" s="1"/>
    </row>
    <row r="117" spans="3:13" hidden="1" x14ac:dyDescent="0.3">
      <c r="C117" s="1">
        <v>42646</v>
      </c>
      <c r="D117" s="21">
        <v>163</v>
      </c>
      <c r="E117" s="117"/>
      <c r="F117" t="s">
        <v>113</v>
      </c>
      <c r="G117" s="11">
        <v>42.45</v>
      </c>
      <c r="H117" s="11">
        <v>0</v>
      </c>
      <c r="I117" s="11">
        <v>42.45</v>
      </c>
      <c r="J117" s="7">
        <v>201579</v>
      </c>
      <c r="L117" s="1">
        <v>42675</v>
      </c>
      <c r="M117" s="1"/>
    </row>
    <row r="118" spans="3:13" hidden="1" x14ac:dyDescent="0.3">
      <c r="C118" s="1">
        <v>42646</v>
      </c>
      <c r="D118" s="21">
        <v>164</v>
      </c>
      <c r="E118" s="117"/>
      <c r="F118" t="s">
        <v>99</v>
      </c>
      <c r="G118" s="11">
        <v>300</v>
      </c>
      <c r="H118" s="11">
        <v>35</v>
      </c>
      <c r="I118" s="11">
        <v>335</v>
      </c>
      <c r="J118" s="7">
        <v>201580</v>
      </c>
      <c r="L118" s="1">
        <v>42675</v>
      </c>
      <c r="M118" s="1"/>
    </row>
    <row r="119" spans="3:13" hidden="1" x14ac:dyDescent="0.3">
      <c r="C119" s="1">
        <v>42646</v>
      </c>
      <c r="D119" s="21">
        <v>165</v>
      </c>
      <c r="E119" s="117"/>
      <c r="F119" t="s">
        <v>114</v>
      </c>
      <c r="G119" s="11">
        <v>95</v>
      </c>
      <c r="H119" s="11">
        <v>19</v>
      </c>
      <c r="I119" s="11">
        <v>114</v>
      </c>
      <c r="J119" s="7">
        <v>201581</v>
      </c>
      <c r="L119" s="1">
        <v>42675</v>
      </c>
      <c r="M119" s="1"/>
    </row>
    <row r="120" spans="3:13" hidden="1" x14ac:dyDescent="0.3">
      <c r="C120" s="1">
        <v>42646</v>
      </c>
      <c r="D120" s="21">
        <v>166</v>
      </c>
      <c r="E120" s="117"/>
      <c r="F120" t="s">
        <v>122</v>
      </c>
      <c r="G120" s="11">
        <v>12.5</v>
      </c>
      <c r="H120" s="11">
        <v>2.5</v>
      </c>
      <c r="I120" s="11">
        <v>15</v>
      </c>
      <c r="J120" s="7">
        <v>201582</v>
      </c>
      <c r="L120" s="1">
        <v>42675</v>
      </c>
      <c r="M120" s="1"/>
    </row>
    <row r="121" spans="3:13" hidden="1" x14ac:dyDescent="0.3">
      <c r="C121" s="1">
        <v>42646</v>
      </c>
      <c r="D121" s="21">
        <v>166</v>
      </c>
      <c r="E121" s="117"/>
      <c r="F121" t="s">
        <v>121</v>
      </c>
      <c r="G121" s="11">
        <v>15</v>
      </c>
      <c r="H121" s="11">
        <v>0</v>
      </c>
      <c r="I121" s="11">
        <v>15</v>
      </c>
      <c r="J121" s="7">
        <v>201582</v>
      </c>
      <c r="L121" s="1">
        <v>42675</v>
      </c>
      <c r="M121" s="1"/>
    </row>
    <row r="122" spans="3:13" hidden="1" x14ac:dyDescent="0.3">
      <c r="C122" s="1">
        <v>42646</v>
      </c>
      <c r="D122" s="21">
        <v>167</v>
      </c>
      <c r="E122" s="117"/>
      <c r="F122" t="s">
        <v>39</v>
      </c>
      <c r="G122" s="11">
        <v>651.5</v>
      </c>
      <c r="H122" s="11">
        <v>0</v>
      </c>
      <c r="I122" s="11">
        <v>651.5</v>
      </c>
      <c r="J122" s="7">
        <v>201584</v>
      </c>
      <c r="L122" s="1">
        <v>42675</v>
      </c>
      <c r="M122" s="1"/>
    </row>
    <row r="123" spans="3:13" hidden="1" x14ac:dyDescent="0.3">
      <c r="C123" s="1">
        <v>42646</v>
      </c>
      <c r="D123" s="21">
        <v>168</v>
      </c>
      <c r="E123" s="117"/>
      <c r="F123" t="s">
        <v>115</v>
      </c>
      <c r="G123" s="11">
        <v>185</v>
      </c>
      <c r="H123" s="11">
        <v>37</v>
      </c>
      <c r="I123" s="11">
        <v>222</v>
      </c>
      <c r="J123" s="7">
        <v>201583</v>
      </c>
      <c r="L123" s="1">
        <v>42675</v>
      </c>
      <c r="M123" s="1"/>
    </row>
    <row r="124" spans="3:13" hidden="1" x14ac:dyDescent="0.3">
      <c r="C124" s="1">
        <v>42653</v>
      </c>
      <c r="D124" s="21">
        <v>169</v>
      </c>
      <c r="E124" s="117"/>
      <c r="F124" t="s">
        <v>116</v>
      </c>
      <c r="G124" s="11">
        <v>23.4</v>
      </c>
      <c r="H124" s="11">
        <v>4.68</v>
      </c>
      <c r="I124" s="11">
        <f>SUM(G124:H124)</f>
        <v>28.08</v>
      </c>
      <c r="J124" s="7">
        <v>201585</v>
      </c>
      <c r="L124" s="1">
        <v>42675</v>
      </c>
      <c r="M124" s="1"/>
    </row>
    <row r="125" spans="3:13" hidden="1" x14ac:dyDescent="0.3">
      <c r="C125" s="1">
        <v>42653</v>
      </c>
      <c r="D125" s="21">
        <v>170</v>
      </c>
      <c r="E125" s="117"/>
      <c r="F125" t="s">
        <v>117</v>
      </c>
      <c r="G125" s="11">
        <v>20</v>
      </c>
      <c r="H125" s="11">
        <v>0</v>
      </c>
      <c r="I125" s="11">
        <v>20</v>
      </c>
      <c r="J125" s="7">
        <v>201586</v>
      </c>
      <c r="L125" s="1">
        <v>42675</v>
      </c>
      <c r="M125" s="1"/>
    </row>
    <row r="126" spans="3:13" hidden="1" x14ac:dyDescent="0.3">
      <c r="C126" s="1">
        <v>42656</v>
      </c>
      <c r="D126" s="21">
        <v>171</v>
      </c>
      <c r="E126" s="117"/>
      <c r="F126" t="s">
        <v>118</v>
      </c>
      <c r="G126" s="11">
        <v>38.78</v>
      </c>
      <c r="H126" s="11">
        <v>0</v>
      </c>
      <c r="I126" s="11">
        <v>38.78</v>
      </c>
      <c r="J126" s="7">
        <v>201587</v>
      </c>
      <c r="L126" s="1">
        <v>42675</v>
      </c>
      <c r="M126" s="1"/>
    </row>
    <row r="127" spans="3:13" hidden="1" x14ac:dyDescent="0.3">
      <c r="C127" s="1">
        <v>42656</v>
      </c>
      <c r="D127" s="21">
        <v>172</v>
      </c>
      <c r="E127" s="117"/>
      <c r="F127" t="s">
        <v>119</v>
      </c>
      <c r="G127" s="11">
        <v>6.4</v>
      </c>
      <c r="H127" s="11">
        <v>0</v>
      </c>
      <c r="I127" s="11">
        <v>6.4</v>
      </c>
      <c r="J127" s="7">
        <v>201588</v>
      </c>
      <c r="L127" s="1">
        <v>42675</v>
      </c>
      <c r="M127" s="1"/>
    </row>
    <row r="128" spans="3:13" hidden="1" x14ac:dyDescent="0.3">
      <c r="C128" s="1">
        <v>42656</v>
      </c>
      <c r="D128" s="21">
        <v>173</v>
      </c>
      <c r="E128" s="117"/>
      <c r="F128" t="s">
        <v>120</v>
      </c>
      <c r="G128" s="11">
        <v>43.5</v>
      </c>
      <c r="H128" s="11">
        <v>0</v>
      </c>
      <c r="I128" s="11">
        <v>43.5</v>
      </c>
      <c r="J128" s="7">
        <v>201589</v>
      </c>
      <c r="L128" s="1">
        <v>42675</v>
      </c>
      <c r="M128" s="1"/>
    </row>
    <row r="129" spans="3:13" s="5" customFormat="1" hidden="1" x14ac:dyDescent="0.3">
      <c r="D129" s="22"/>
      <c r="E129" s="113"/>
      <c r="G129" s="12">
        <f>SUM(G113:G128)</f>
        <v>2080.87</v>
      </c>
      <c r="H129" s="12">
        <f>SUM(H113:H128)</f>
        <v>110.18</v>
      </c>
      <c r="I129" s="12">
        <f>SUM(I113:I128)</f>
        <v>2191.0500000000002</v>
      </c>
      <c r="J129" s="16"/>
      <c r="K129" s="8"/>
    </row>
    <row r="130" spans="3:13" hidden="1" x14ac:dyDescent="0.3">
      <c r="C130" s="1">
        <v>42675</v>
      </c>
      <c r="D130" s="21">
        <v>174</v>
      </c>
      <c r="E130" s="117"/>
      <c r="F130" t="s">
        <v>123</v>
      </c>
      <c r="G130" s="11">
        <v>99</v>
      </c>
      <c r="H130" s="11">
        <v>19.8</v>
      </c>
      <c r="I130" s="11">
        <f t="shared" ref="I130:I139" si="6">SUM(G130:H130)</f>
        <v>118.8</v>
      </c>
      <c r="J130" s="7">
        <v>201590</v>
      </c>
      <c r="L130" s="1">
        <v>42709</v>
      </c>
      <c r="M130" s="1"/>
    </row>
    <row r="131" spans="3:13" hidden="1" x14ac:dyDescent="0.3">
      <c r="C131" s="1">
        <v>42675</v>
      </c>
      <c r="D131" s="21">
        <v>175</v>
      </c>
      <c r="E131" s="117"/>
      <c r="F131" t="s">
        <v>124</v>
      </c>
      <c r="G131" s="11">
        <v>30</v>
      </c>
      <c r="I131" s="11">
        <f t="shared" si="6"/>
        <v>30</v>
      </c>
      <c r="J131" s="7">
        <v>201591</v>
      </c>
      <c r="L131" s="1">
        <v>42709</v>
      </c>
      <c r="M131" s="1"/>
    </row>
    <row r="132" spans="3:13" hidden="1" x14ac:dyDescent="0.3">
      <c r="C132" s="1">
        <v>42675</v>
      </c>
      <c r="D132" s="21">
        <v>176</v>
      </c>
      <c r="E132" s="117"/>
      <c r="F132" t="s">
        <v>93</v>
      </c>
      <c r="G132" s="11">
        <v>9.98</v>
      </c>
      <c r="H132" s="11">
        <v>2</v>
      </c>
      <c r="I132" s="11">
        <f t="shared" si="6"/>
        <v>11.98</v>
      </c>
      <c r="J132" s="7">
        <v>201592</v>
      </c>
      <c r="L132" s="1">
        <v>42709</v>
      </c>
      <c r="M132" s="1"/>
    </row>
    <row r="133" spans="3:13" hidden="1" x14ac:dyDescent="0.3">
      <c r="C133" s="1">
        <v>42675</v>
      </c>
      <c r="D133" s="21">
        <v>177</v>
      </c>
      <c r="E133" s="117"/>
      <c r="F133" t="s">
        <v>97</v>
      </c>
      <c r="G133" s="11">
        <v>66.59</v>
      </c>
      <c r="H133" s="11">
        <v>14.03</v>
      </c>
      <c r="I133" s="11">
        <f t="shared" si="6"/>
        <v>80.62</v>
      </c>
      <c r="J133" s="7">
        <v>201593</v>
      </c>
      <c r="L133" s="1">
        <v>42709</v>
      </c>
      <c r="M133" s="1"/>
    </row>
    <row r="134" spans="3:13" hidden="1" x14ac:dyDescent="0.3">
      <c r="C134" s="1">
        <v>42675</v>
      </c>
      <c r="D134" s="21">
        <v>178</v>
      </c>
      <c r="E134" s="117"/>
      <c r="F134" t="s">
        <v>125</v>
      </c>
      <c r="G134" s="11">
        <v>68.88</v>
      </c>
      <c r="H134" s="11">
        <v>12.43</v>
      </c>
      <c r="I134" s="11">
        <f t="shared" si="6"/>
        <v>81.31</v>
      </c>
      <c r="J134" s="7">
        <v>201594</v>
      </c>
      <c r="L134" s="1">
        <v>42709</v>
      </c>
      <c r="M134" s="1"/>
    </row>
    <row r="135" spans="3:13" hidden="1" x14ac:dyDescent="0.3">
      <c r="C135" s="1">
        <v>42675</v>
      </c>
      <c r="D135" s="21">
        <v>179</v>
      </c>
      <c r="E135" s="117"/>
      <c r="F135" t="s">
        <v>88</v>
      </c>
      <c r="G135" s="11">
        <v>392.27</v>
      </c>
      <c r="H135" s="11">
        <v>0</v>
      </c>
      <c r="I135" s="11">
        <f t="shared" si="6"/>
        <v>392.27</v>
      </c>
      <c r="J135" s="7">
        <v>201595</v>
      </c>
      <c r="L135" s="1">
        <v>42709</v>
      </c>
      <c r="M135" s="1"/>
    </row>
    <row r="136" spans="3:13" hidden="1" x14ac:dyDescent="0.3">
      <c r="C136" s="1">
        <v>42675</v>
      </c>
      <c r="D136" s="21">
        <v>179</v>
      </c>
      <c r="E136" s="117"/>
      <c r="F136" t="s">
        <v>103</v>
      </c>
      <c r="G136" s="11">
        <v>15.07</v>
      </c>
      <c r="H136" s="11">
        <v>0</v>
      </c>
      <c r="I136" s="11">
        <f t="shared" si="6"/>
        <v>15.07</v>
      </c>
      <c r="J136" s="7">
        <v>201595</v>
      </c>
      <c r="L136" s="1">
        <v>42709</v>
      </c>
      <c r="M136" s="1"/>
    </row>
    <row r="137" spans="3:13" hidden="1" x14ac:dyDescent="0.3">
      <c r="C137" s="1">
        <v>42675</v>
      </c>
      <c r="D137" s="21">
        <v>179</v>
      </c>
      <c r="E137" s="117"/>
      <c r="F137" t="s">
        <v>126</v>
      </c>
      <c r="G137" s="11">
        <v>20.25</v>
      </c>
      <c r="H137" s="11">
        <v>0</v>
      </c>
      <c r="I137" s="11">
        <f t="shared" si="6"/>
        <v>20.25</v>
      </c>
      <c r="J137" s="7">
        <v>201595</v>
      </c>
      <c r="L137" s="1">
        <v>42709</v>
      </c>
      <c r="M137" s="1"/>
    </row>
    <row r="138" spans="3:13" hidden="1" x14ac:dyDescent="0.3">
      <c r="C138" s="1">
        <v>42675</v>
      </c>
      <c r="D138" s="21">
        <v>180</v>
      </c>
      <c r="E138" s="117"/>
      <c r="F138" t="s">
        <v>39</v>
      </c>
      <c r="G138" s="11">
        <v>180</v>
      </c>
      <c r="H138" s="11">
        <v>0</v>
      </c>
      <c r="I138" s="11">
        <f t="shared" si="6"/>
        <v>180</v>
      </c>
      <c r="J138" s="7">
        <v>201596</v>
      </c>
      <c r="L138" s="1">
        <v>42709</v>
      </c>
      <c r="M138" s="1"/>
    </row>
    <row r="139" spans="3:13" hidden="1" x14ac:dyDescent="0.3">
      <c r="C139" s="1">
        <v>42675</v>
      </c>
      <c r="D139" s="21">
        <v>181</v>
      </c>
      <c r="E139" s="117"/>
      <c r="F139" t="s">
        <v>95</v>
      </c>
      <c r="G139" s="11">
        <v>185</v>
      </c>
      <c r="H139" s="11">
        <v>37</v>
      </c>
      <c r="I139" s="11">
        <f t="shared" si="6"/>
        <v>222</v>
      </c>
      <c r="J139" s="7">
        <v>201597</v>
      </c>
      <c r="L139" s="1">
        <v>42709</v>
      </c>
      <c r="M139" s="1"/>
    </row>
    <row r="140" spans="3:13" hidden="1" x14ac:dyDescent="0.3">
      <c r="C140" s="1">
        <v>42675</v>
      </c>
      <c r="D140" s="21">
        <v>182</v>
      </c>
      <c r="E140" s="117"/>
      <c r="F140" t="s">
        <v>127</v>
      </c>
      <c r="G140" s="11">
        <v>25.98</v>
      </c>
      <c r="H140" s="11">
        <v>0</v>
      </c>
      <c r="I140" s="11">
        <v>25.98</v>
      </c>
      <c r="J140" s="7">
        <v>201598</v>
      </c>
      <c r="L140" s="1">
        <v>42709</v>
      </c>
      <c r="M140" s="1"/>
    </row>
    <row r="141" spans="3:13" hidden="1" x14ac:dyDescent="0.3">
      <c r="C141" s="1">
        <v>42675</v>
      </c>
      <c r="D141" s="21">
        <v>183</v>
      </c>
      <c r="E141" s="117"/>
      <c r="F141" t="s">
        <v>128</v>
      </c>
      <c r="G141" s="11">
        <v>19.8</v>
      </c>
      <c r="H141" s="11">
        <v>0</v>
      </c>
      <c r="I141" s="11">
        <f t="shared" ref="I141:I147" si="7">SUM(G141:H141)</f>
        <v>19.8</v>
      </c>
      <c r="J141" s="7">
        <v>201599</v>
      </c>
      <c r="L141" s="1">
        <v>42709</v>
      </c>
      <c r="M141" s="1"/>
    </row>
    <row r="142" spans="3:13" hidden="1" x14ac:dyDescent="0.3">
      <c r="C142" s="1">
        <v>42676</v>
      </c>
      <c r="D142" s="21">
        <v>184</v>
      </c>
      <c r="E142" s="117"/>
      <c r="F142" t="s">
        <v>129</v>
      </c>
      <c r="G142" s="11">
        <v>209.79</v>
      </c>
      <c r="H142" s="11">
        <v>0</v>
      </c>
      <c r="I142" s="11">
        <f t="shared" si="7"/>
        <v>209.79</v>
      </c>
      <c r="J142" s="7">
        <v>201600</v>
      </c>
      <c r="L142" s="1">
        <v>42709</v>
      </c>
      <c r="M142" s="1"/>
    </row>
    <row r="143" spans="3:13" hidden="1" x14ac:dyDescent="0.3">
      <c r="C143" s="1">
        <v>42676</v>
      </c>
      <c r="D143" s="21">
        <v>185</v>
      </c>
      <c r="E143" s="117"/>
      <c r="F143" t="s">
        <v>130</v>
      </c>
      <c r="G143" s="11">
        <v>35</v>
      </c>
      <c r="H143" s="11">
        <v>0</v>
      </c>
      <c r="I143" s="11">
        <f t="shared" si="7"/>
        <v>35</v>
      </c>
      <c r="J143" s="7" t="s">
        <v>26</v>
      </c>
      <c r="L143" s="1">
        <v>42709</v>
      </c>
      <c r="M143" s="1"/>
    </row>
    <row r="144" spans="3:13" hidden="1" x14ac:dyDescent="0.3">
      <c r="C144" s="1">
        <v>42676</v>
      </c>
      <c r="D144" s="21">
        <v>186</v>
      </c>
      <c r="E144" s="117"/>
      <c r="F144" t="s">
        <v>129</v>
      </c>
      <c r="G144" s="11">
        <v>209.79</v>
      </c>
      <c r="H144" s="11">
        <v>0</v>
      </c>
      <c r="I144" s="11">
        <f t="shared" si="7"/>
        <v>209.79</v>
      </c>
      <c r="J144" s="7">
        <v>201401</v>
      </c>
      <c r="L144" s="1">
        <v>42709</v>
      </c>
      <c r="M144" s="1"/>
    </row>
    <row r="145" spans="3:13" hidden="1" x14ac:dyDescent="0.3">
      <c r="C145" s="1">
        <v>42676</v>
      </c>
      <c r="D145" s="21">
        <v>187</v>
      </c>
      <c r="E145" s="117"/>
      <c r="F145" t="s">
        <v>131</v>
      </c>
      <c r="G145" s="11">
        <v>50</v>
      </c>
      <c r="H145" s="11">
        <v>0</v>
      </c>
      <c r="I145" s="11">
        <f t="shared" si="7"/>
        <v>50</v>
      </c>
      <c r="J145" s="7">
        <v>201402</v>
      </c>
      <c r="L145" s="1">
        <v>42709</v>
      </c>
      <c r="M145" s="1"/>
    </row>
    <row r="146" spans="3:13" hidden="1" x14ac:dyDescent="0.3">
      <c r="C146" s="1">
        <v>42676</v>
      </c>
      <c r="D146" s="21">
        <v>188</v>
      </c>
      <c r="E146" s="117"/>
      <c r="F146" t="s">
        <v>132</v>
      </c>
      <c r="G146" s="11">
        <v>50</v>
      </c>
      <c r="H146" s="11">
        <v>0</v>
      </c>
      <c r="I146" s="11">
        <f t="shared" si="7"/>
        <v>50</v>
      </c>
      <c r="J146" s="7">
        <v>201403</v>
      </c>
      <c r="L146" s="1">
        <v>42709</v>
      </c>
      <c r="M146" s="1"/>
    </row>
    <row r="147" spans="3:13" hidden="1" x14ac:dyDescent="0.3">
      <c r="C147" s="1">
        <v>42709</v>
      </c>
      <c r="D147" s="21">
        <v>190</v>
      </c>
      <c r="E147" s="117"/>
      <c r="F147" t="s">
        <v>133</v>
      </c>
      <c r="G147" s="11">
        <v>244</v>
      </c>
      <c r="H147" s="11">
        <v>48.8</v>
      </c>
      <c r="I147" s="11">
        <f t="shared" si="7"/>
        <v>292.8</v>
      </c>
      <c r="J147" s="7">
        <v>201404</v>
      </c>
      <c r="L147" s="1">
        <v>42709</v>
      </c>
      <c r="M147" s="1"/>
    </row>
    <row r="148" spans="3:13" hidden="1" x14ac:dyDescent="0.3">
      <c r="C148" s="1"/>
      <c r="D148" s="21"/>
      <c r="E148" s="117"/>
      <c r="G148" s="12">
        <f>SUM(G130:G147)</f>
        <v>1911.3999999999999</v>
      </c>
      <c r="H148" s="12">
        <f>SUM(H130:H147)</f>
        <v>134.06</v>
      </c>
      <c r="I148" s="12">
        <f>SUM(I130:I147)</f>
        <v>2045.46</v>
      </c>
    </row>
    <row r="149" spans="3:13" hidden="1" x14ac:dyDescent="0.3">
      <c r="C149" s="1">
        <v>42709</v>
      </c>
      <c r="D149" s="21">
        <v>189</v>
      </c>
      <c r="E149" s="117"/>
      <c r="F149" t="s">
        <v>78</v>
      </c>
      <c r="G149" s="11">
        <v>126</v>
      </c>
      <c r="H149" s="11">
        <v>0</v>
      </c>
      <c r="I149" s="11">
        <f t="shared" ref="I149:I158" si="8">SUM(G149:H149)</f>
        <v>126</v>
      </c>
      <c r="J149" s="7">
        <v>201405</v>
      </c>
      <c r="L149" s="1">
        <v>42738</v>
      </c>
      <c r="M149" s="1"/>
    </row>
    <row r="150" spans="3:13" hidden="1" x14ac:dyDescent="0.3">
      <c r="C150" s="1">
        <v>42709</v>
      </c>
      <c r="D150" s="21">
        <v>191</v>
      </c>
      <c r="E150" s="117"/>
      <c r="F150" t="s">
        <v>31</v>
      </c>
      <c r="G150" s="11">
        <v>310</v>
      </c>
      <c r="H150" s="11">
        <v>0</v>
      </c>
      <c r="I150" s="11">
        <f t="shared" si="8"/>
        <v>310</v>
      </c>
      <c r="J150" s="7">
        <v>201406</v>
      </c>
      <c r="L150" s="1">
        <v>42738</v>
      </c>
      <c r="M150" s="1"/>
    </row>
    <row r="151" spans="3:13" hidden="1" x14ac:dyDescent="0.3">
      <c r="C151" s="1">
        <v>42709</v>
      </c>
      <c r="D151" s="21">
        <v>192</v>
      </c>
      <c r="E151" s="117"/>
      <c r="F151" t="s">
        <v>134</v>
      </c>
      <c r="G151" s="11">
        <v>35</v>
      </c>
      <c r="H151" s="11">
        <v>0</v>
      </c>
      <c r="I151" s="11">
        <f t="shared" si="8"/>
        <v>35</v>
      </c>
      <c r="J151" s="7">
        <v>201407</v>
      </c>
      <c r="L151" s="1">
        <v>42738</v>
      </c>
      <c r="M151" s="1"/>
    </row>
    <row r="152" spans="3:13" hidden="1" x14ac:dyDescent="0.3">
      <c r="C152" s="1">
        <v>42709</v>
      </c>
      <c r="D152" s="21">
        <v>193</v>
      </c>
      <c r="E152" s="117"/>
      <c r="F152" t="s">
        <v>135</v>
      </c>
      <c r="G152" s="11">
        <v>58.17</v>
      </c>
      <c r="H152" s="11">
        <v>5.89</v>
      </c>
      <c r="I152" s="11">
        <f t="shared" si="8"/>
        <v>64.06</v>
      </c>
      <c r="J152" s="7">
        <v>201408</v>
      </c>
      <c r="L152" s="1">
        <v>42738</v>
      </c>
      <c r="M152" s="1"/>
    </row>
    <row r="153" spans="3:13" hidden="1" x14ac:dyDescent="0.3">
      <c r="C153" s="1">
        <v>42709</v>
      </c>
      <c r="D153" s="21">
        <v>194</v>
      </c>
      <c r="E153" s="117"/>
      <c r="F153" t="s">
        <v>88</v>
      </c>
      <c r="G153" s="11">
        <v>586.01</v>
      </c>
      <c r="H153" s="11">
        <v>0</v>
      </c>
      <c r="I153" s="11">
        <f t="shared" si="8"/>
        <v>586.01</v>
      </c>
      <c r="J153" s="7">
        <v>201409</v>
      </c>
      <c r="L153" s="1">
        <v>42738</v>
      </c>
      <c r="M153" s="1"/>
    </row>
    <row r="154" spans="3:13" hidden="1" x14ac:dyDescent="0.3">
      <c r="C154" s="1">
        <v>42709</v>
      </c>
      <c r="D154" s="21">
        <v>194</v>
      </c>
      <c r="E154" s="117"/>
      <c r="F154" t="s">
        <v>103</v>
      </c>
      <c r="G154" s="11">
        <v>15.07</v>
      </c>
      <c r="H154" s="11">
        <v>0</v>
      </c>
      <c r="I154" s="11">
        <f t="shared" si="8"/>
        <v>15.07</v>
      </c>
      <c r="J154" s="7">
        <v>201409</v>
      </c>
      <c r="L154" s="1">
        <v>42738</v>
      </c>
      <c r="M154" s="1"/>
    </row>
    <row r="155" spans="3:13" hidden="1" x14ac:dyDescent="0.3">
      <c r="C155" s="1">
        <v>42709</v>
      </c>
      <c r="D155" s="21">
        <v>194</v>
      </c>
      <c r="E155" s="117"/>
      <c r="F155" t="s">
        <v>126</v>
      </c>
      <c r="G155" s="11">
        <v>24.75</v>
      </c>
      <c r="H155" s="11">
        <v>0</v>
      </c>
      <c r="I155" s="11">
        <f t="shared" si="8"/>
        <v>24.75</v>
      </c>
      <c r="J155" s="7">
        <v>201409</v>
      </c>
      <c r="L155" s="1">
        <v>42738</v>
      </c>
      <c r="M155" s="1"/>
    </row>
    <row r="156" spans="3:13" hidden="1" x14ac:dyDescent="0.3">
      <c r="C156" s="1">
        <v>42709</v>
      </c>
      <c r="D156" s="21">
        <v>195</v>
      </c>
      <c r="E156" s="117"/>
      <c r="F156" t="s">
        <v>136</v>
      </c>
      <c r="G156" s="11">
        <v>738.95</v>
      </c>
      <c r="H156" s="11">
        <v>147.79</v>
      </c>
      <c r="I156" s="11">
        <f t="shared" si="8"/>
        <v>886.74</v>
      </c>
      <c r="J156" s="7">
        <v>201410</v>
      </c>
      <c r="L156" s="1">
        <v>42738</v>
      </c>
      <c r="M156" s="1"/>
    </row>
    <row r="157" spans="3:13" hidden="1" x14ac:dyDescent="0.3">
      <c r="C157" s="1">
        <v>42709</v>
      </c>
      <c r="D157" s="21">
        <v>196</v>
      </c>
      <c r="E157" s="117"/>
      <c r="F157" t="s">
        <v>137</v>
      </c>
      <c r="G157" s="11">
        <v>20</v>
      </c>
      <c r="H157" s="11">
        <v>0</v>
      </c>
      <c r="I157" s="11">
        <f t="shared" si="8"/>
        <v>20</v>
      </c>
      <c r="J157" s="7">
        <v>201412</v>
      </c>
      <c r="L157" s="1">
        <v>42738</v>
      </c>
      <c r="M157" s="1"/>
    </row>
    <row r="158" spans="3:13" hidden="1" x14ac:dyDescent="0.3">
      <c r="C158" s="1">
        <v>42709</v>
      </c>
      <c r="D158" s="21">
        <v>197</v>
      </c>
      <c r="E158" s="117"/>
      <c r="F158" t="s">
        <v>138</v>
      </c>
      <c r="G158" s="11">
        <v>107.35</v>
      </c>
      <c r="H158" s="11">
        <v>21.47</v>
      </c>
      <c r="I158" s="11">
        <f t="shared" si="8"/>
        <v>128.82</v>
      </c>
      <c r="J158" s="7">
        <v>201413</v>
      </c>
      <c r="L158" s="1">
        <v>42738</v>
      </c>
      <c r="M158" s="1"/>
    </row>
    <row r="159" spans="3:13" hidden="1" x14ac:dyDescent="0.3">
      <c r="C159" s="1">
        <v>42719</v>
      </c>
      <c r="D159" s="21">
        <v>198</v>
      </c>
      <c r="E159" s="117"/>
      <c r="F159" t="s">
        <v>139</v>
      </c>
      <c r="G159" s="11">
        <v>20000</v>
      </c>
      <c r="H159" s="11">
        <v>0</v>
      </c>
      <c r="I159" s="11">
        <v>20000</v>
      </c>
      <c r="J159" s="7">
        <v>201414</v>
      </c>
      <c r="L159" s="1">
        <v>42738</v>
      </c>
      <c r="M159" s="1"/>
    </row>
    <row r="160" spans="3:13" hidden="1" x14ac:dyDescent="0.3">
      <c r="C160" s="1">
        <v>42719</v>
      </c>
      <c r="D160" s="21">
        <v>199</v>
      </c>
      <c r="E160" s="117"/>
      <c r="F160" t="s">
        <v>127</v>
      </c>
      <c r="G160" s="11">
        <v>92.98</v>
      </c>
      <c r="H160" s="11">
        <v>0</v>
      </c>
      <c r="I160" s="11">
        <f>SUM(G160:H160)</f>
        <v>92.98</v>
      </c>
      <c r="J160" s="7">
        <v>201415</v>
      </c>
      <c r="L160" s="1">
        <v>42738</v>
      </c>
      <c r="M160" s="1"/>
    </row>
    <row r="161" spans="3:13" s="11" customFormat="1" hidden="1" x14ac:dyDescent="0.3">
      <c r="D161" s="23"/>
      <c r="E161" s="118"/>
      <c r="G161" s="12">
        <f>SUM(G149:G160)</f>
        <v>22114.28</v>
      </c>
      <c r="H161" s="12">
        <f>SUM(H149:H160)</f>
        <v>175.14999999999998</v>
      </c>
      <c r="I161" s="12">
        <f>SUM(I149:I160)</f>
        <v>22289.43</v>
      </c>
      <c r="J161" s="7"/>
      <c r="K161" s="1"/>
    </row>
    <row r="162" spans="3:13" hidden="1" x14ac:dyDescent="0.3">
      <c r="C162" s="1">
        <v>42738</v>
      </c>
      <c r="D162" s="21">
        <v>200</v>
      </c>
      <c r="E162" s="117"/>
      <c r="F162" t="s">
        <v>98</v>
      </c>
      <c r="G162" s="11">
        <v>74.900000000000006</v>
      </c>
      <c r="H162" s="11">
        <v>0</v>
      </c>
      <c r="I162" s="11">
        <f t="shared" ref="I162:I182" si="9">SUM(G162:H162)</f>
        <v>74.900000000000006</v>
      </c>
      <c r="J162" s="7">
        <v>201416</v>
      </c>
      <c r="L162" s="1">
        <v>42768</v>
      </c>
      <c r="M162" s="1"/>
    </row>
    <row r="163" spans="3:13" hidden="1" x14ac:dyDescent="0.3">
      <c r="C163" s="1">
        <v>42738</v>
      </c>
      <c r="D163" s="19">
        <v>201</v>
      </c>
      <c r="F163" t="s">
        <v>97</v>
      </c>
      <c r="G163" s="11">
        <v>70</v>
      </c>
      <c r="H163" s="11">
        <v>14</v>
      </c>
      <c r="I163" s="11">
        <f t="shared" si="9"/>
        <v>84</v>
      </c>
      <c r="J163" s="7">
        <v>201417</v>
      </c>
      <c r="L163" s="1">
        <v>42768</v>
      </c>
      <c r="M163" s="1"/>
    </row>
    <row r="164" spans="3:13" hidden="1" x14ac:dyDescent="0.3">
      <c r="C164" s="1">
        <v>42738</v>
      </c>
      <c r="D164" s="21" t="s">
        <v>140</v>
      </c>
      <c r="E164" s="117"/>
      <c r="G164" s="11">
        <v>775.51</v>
      </c>
      <c r="H164" s="11">
        <v>0</v>
      </c>
      <c r="I164" s="11">
        <f t="shared" si="9"/>
        <v>775.51</v>
      </c>
      <c r="J164" s="7">
        <v>201418</v>
      </c>
      <c r="L164" s="1">
        <v>42768</v>
      </c>
      <c r="M164" s="1"/>
    </row>
    <row r="165" spans="3:13" hidden="1" x14ac:dyDescent="0.3">
      <c r="C165" s="1">
        <v>42738</v>
      </c>
      <c r="D165" s="21">
        <v>203</v>
      </c>
      <c r="E165" s="117"/>
      <c r="F165" t="s">
        <v>88</v>
      </c>
      <c r="G165" s="11">
        <v>602.03</v>
      </c>
      <c r="H165" s="11">
        <v>0</v>
      </c>
      <c r="I165" s="11">
        <f t="shared" si="9"/>
        <v>602.03</v>
      </c>
      <c r="J165" s="7">
        <v>201419</v>
      </c>
      <c r="L165" s="1">
        <v>42768</v>
      </c>
      <c r="M165" s="1"/>
    </row>
    <row r="166" spans="3:13" hidden="1" x14ac:dyDescent="0.3">
      <c r="C166" s="1">
        <v>42738</v>
      </c>
      <c r="D166" s="21">
        <v>203</v>
      </c>
      <c r="E166" s="117"/>
      <c r="F166" t="s">
        <v>141</v>
      </c>
      <c r="G166" s="11">
        <v>15.07</v>
      </c>
      <c r="H166" s="11">
        <v>0</v>
      </c>
      <c r="I166" s="11">
        <f t="shared" si="9"/>
        <v>15.07</v>
      </c>
      <c r="J166" s="7">
        <v>201419</v>
      </c>
      <c r="L166" s="1">
        <v>42768</v>
      </c>
      <c r="M166" s="1"/>
    </row>
    <row r="167" spans="3:13" hidden="1" x14ac:dyDescent="0.3">
      <c r="C167" s="1">
        <v>42745</v>
      </c>
      <c r="D167" s="21">
        <v>204</v>
      </c>
      <c r="E167" s="117"/>
      <c r="F167" t="s">
        <v>142</v>
      </c>
      <c r="G167" s="11">
        <v>16.78</v>
      </c>
      <c r="H167" s="11">
        <v>0</v>
      </c>
      <c r="I167" s="11">
        <f t="shared" si="9"/>
        <v>16.78</v>
      </c>
      <c r="J167" s="7">
        <v>201420</v>
      </c>
      <c r="L167" s="1">
        <v>42768</v>
      </c>
      <c r="M167" s="1"/>
    </row>
    <row r="168" spans="3:13" hidden="1" x14ac:dyDescent="0.3">
      <c r="C168" s="1">
        <v>42745</v>
      </c>
      <c r="D168" s="21">
        <v>205</v>
      </c>
      <c r="E168" s="117"/>
      <c r="F168" t="s">
        <v>143</v>
      </c>
      <c r="G168" s="11">
        <v>185</v>
      </c>
      <c r="H168" s="11">
        <v>37</v>
      </c>
      <c r="I168" s="11">
        <f t="shared" si="9"/>
        <v>222</v>
      </c>
      <c r="J168" s="7">
        <v>201421</v>
      </c>
      <c r="L168" s="1">
        <v>42768</v>
      </c>
      <c r="M168" s="1"/>
    </row>
    <row r="169" spans="3:13" hidden="1" x14ac:dyDescent="0.3">
      <c r="D169" s="21"/>
      <c r="E169" s="117"/>
      <c r="G169" s="12">
        <f>SUM(G162:G168)</f>
        <v>1739.29</v>
      </c>
      <c r="H169" s="12">
        <f>SUM(H162:H168)</f>
        <v>51</v>
      </c>
      <c r="I169" s="12">
        <f t="shared" si="9"/>
        <v>1790.29</v>
      </c>
    </row>
    <row r="170" spans="3:13" hidden="1" x14ac:dyDescent="0.3">
      <c r="C170" s="1">
        <v>42768</v>
      </c>
      <c r="D170" s="21">
        <v>206</v>
      </c>
      <c r="E170" s="117"/>
      <c r="F170" t="s">
        <v>144</v>
      </c>
      <c r="G170" s="11">
        <v>20.84</v>
      </c>
      <c r="H170" s="11">
        <v>4.16</v>
      </c>
      <c r="I170" s="11">
        <f t="shared" si="9"/>
        <v>25</v>
      </c>
      <c r="J170" s="7">
        <v>201422</v>
      </c>
      <c r="L170" s="1">
        <v>42797</v>
      </c>
      <c r="M170" s="1"/>
    </row>
    <row r="171" spans="3:13" hidden="1" x14ac:dyDescent="0.3">
      <c r="C171" s="1">
        <v>42768</v>
      </c>
      <c r="D171" s="21">
        <v>207</v>
      </c>
      <c r="E171" s="117"/>
      <c r="F171" t="s">
        <v>127</v>
      </c>
      <c r="G171" s="11">
        <v>15.29</v>
      </c>
      <c r="H171" s="11">
        <v>0</v>
      </c>
      <c r="I171" s="11">
        <f t="shared" si="9"/>
        <v>15.29</v>
      </c>
      <c r="J171" s="7">
        <v>201423</v>
      </c>
      <c r="L171" s="1">
        <v>42797</v>
      </c>
      <c r="M171" s="1"/>
    </row>
    <row r="172" spans="3:13" hidden="1" x14ac:dyDescent="0.3">
      <c r="C172" s="1">
        <v>42768</v>
      </c>
      <c r="D172" s="21">
        <v>208</v>
      </c>
      <c r="E172" s="117"/>
      <c r="F172" t="s">
        <v>97</v>
      </c>
      <c r="G172" s="11">
        <v>69.7</v>
      </c>
      <c r="H172" s="11">
        <v>13.94</v>
      </c>
      <c r="I172" s="11">
        <f t="shared" si="9"/>
        <v>83.64</v>
      </c>
      <c r="J172" s="7">
        <v>201424</v>
      </c>
      <c r="L172" s="1">
        <v>42797</v>
      </c>
      <c r="M172" s="1"/>
    </row>
    <row r="173" spans="3:13" hidden="1" x14ac:dyDescent="0.3">
      <c r="C173" s="1">
        <v>42768</v>
      </c>
      <c r="D173" s="21">
        <v>209</v>
      </c>
      <c r="E173" s="117"/>
      <c r="F173" t="s">
        <v>145</v>
      </c>
      <c r="G173" s="11">
        <v>50</v>
      </c>
      <c r="H173" s="11">
        <v>0</v>
      </c>
      <c r="I173" s="11">
        <f t="shared" si="9"/>
        <v>50</v>
      </c>
      <c r="J173" s="7">
        <v>201425</v>
      </c>
      <c r="L173" s="1">
        <v>42797</v>
      </c>
      <c r="M173" s="1"/>
    </row>
    <row r="174" spans="3:13" hidden="1" x14ac:dyDescent="0.3">
      <c r="C174" s="1">
        <v>42768</v>
      </c>
      <c r="D174" s="21">
        <v>210</v>
      </c>
      <c r="E174" s="117"/>
      <c r="F174" t="s">
        <v>88</v>
      </c>
      <c r="G174" s="11">
        <v>602.04999999999995</v>
      </c>
      <c r="H174" s="11">
        <v>0</v>
      </c>
      <c r="I174" s="11">
        <f t="shared" si="9"/>
        <v>602.04999999999995</v>
      </c>
      <c r="J174" s="7">
        <v>201426</v>
      </c>
      <c r="L174" s="1">
        <v>42797</v>
      </c>
      <c r="M174" s="1"/>
    </row>
    <row r="175" spans="3:13" hidden="1" x14ac:dyDescent="0.3">
      <c r="C175" s="1">
        <v>42768</v>
      </c>
      <c r="D175" s="21">
        <v>210</v>
      </c>
      <c r="E175" s="117"/>
      <c r="F175" t="s">
        <v>103</v>
      </c>
      <c r="G175" s="11">
        <v>15.07</v>
      </c>
      <c r="H175" s="11">
        <v>0</v>
      </c>
      <c r="I175" s="11">
        <f t="shared" si="9"/>
        <v>15.07</v>
      </c>
      <c r="J175" s="7">
        <v>201426</v>
      </c>
      <c r="L175" s="1">
        <v>42797</v>
      </c>
      <c r="M175" s="1"/>
    </row>
    <row r="176" spans="3:13" hidden="1" x14ac:dyDescent="0.3">
      <c r="C176" s="1">
        <v>42768</v>
      </c>
      <c r="D176" s="21">
        <v>211</v>
      </c>
      <c r="E176" s="117"/>
      <c r="F176" t="s">
        <v>105</v>
      </c>
      <c r="G176" s="11">
        <v>0</v>
      </c>
      <c r="H176" s="11">
        <v>0</v>
      </c>
      <c r="I176" s="11">
        <f t="shared" si="9"/>
        <v>0</v>
      </c>
      <c r="J176" s="7">
        <v>0</v>
      </c>
      <c r="L176" s="1">
        <v>42797</v>
      </c>
      <c r="M176" s="1"/>
    </row>
    <row r="177" spans="2:13" hidden="1" x14ac:dyDescent="0.3">
      <c r="C177" s="1">
        <v>42768</v>
      </c>
      <c r="D177" s="21">
        <v>212</v>
      </c>
      <c r="E177" s="117"/>
      <c r="F177" t="s">
        <v>146</v>
      </c>
      <c r="G177" s="11">
        <v>89</v>
      </c>
      <c r="H177" s="11">
        <v>17.8</v>
      </c>
      <c r="I177" s="11">
        <f t="shared" si="9"/>
        <v>106.8</v>
      </c>
      <c r="J177" s="7">
        <v>201427</v>
      </c>
      <c r="L177" s="1">
        <v>42797</v>
      </c>
      <c r="M177" s="1"/>
    </row>
    <row r="178" spans="2:13" hidden="1" x14ac:dyDescent="0.3">
      <c r="C178" s="1">
        <v>42773</v>
      </c>
      <c r="D178" s="21">
        <v>213</v>
      </c>
      <c r="E178" s="117"/>
      <c r="F178" t="s">
        <v>147</v>
      </c>
      <c r="G178" s="11">
        <v>318.14999999999998</v>
      </c>
      <c r="H178" s="11">
        <v>0</v>
      </c>
      <c r="I178" s="11">
        <f t="shared" si="9"/>
        <v>318.14999999999998</v>
      </c>
      <c r="J178" s="7">
        <v>201428</v>
      </c>
      <c r="L178" s="1">
        <v>42797</v>
      </c>
      <c r="M178" s="1"/>
    </row>
    <row r="179" spans="2:13" hidden="1" x14ac:dyDescent="0.3">
      <c r="C179" s="1">
        <v>42773</v>
      </c>
      <c r="D179" s="21">
        <v>214</v>
      </c>
      <c r="E179" s="117"/>
      <c r="F179" t="s">
        <v>148</v>
      </c>
      <c r="G179" s="11">
        <v>122</v>
      </c>
      <c r="H179" s="11">
        <v>0</v>
      </c>
      <c r="I179" s="11">
        <f t="shared" si="9"/>
        <v>122</v>
      </c>
      <c r="J179" s="7">
        <v>201429</v>
      </c>
      <c r="L179" s="1">
        <v>42797</v>
      </c>
      <c r="M179" s="1"/>
    </row>
    <row r="180" spans="2:13" hidden="1" x14ac:dyDescent="0.3">
      <c r="B180" s="1"/>
      <c r="C180" s="1">
        <v>42785</v>
      </c>
      <c r="D180" s="21">
        <v>215</v>
      </c>
      <c r="E180" s="117"/>
      <c r="F180" t="s">
        <v>128</v>
      </c>
      <c r="G180" s="11">
        <v>15.58</v>
      </c>
      <c r="H180" s="11">
        <v>0</v>
      </c>
      <c r="I180" s="11">
        <f t="shared" si="9"/>
        <v>15.58</v>
      </c>
      <c r="J180" s="7">
        <v>201433</v>
      </c>
      <c r="L180" s="1">
        <v>42797</v>
      </c>
      <c r="M180" s="1"/>
    </row>
    <row r="181" spans="2:13" hidden="1" x14ac:dyDescent="0.3">
      <c r="C181" s="1">
        <v>42785</v>
      </c>
      <c r="D181" s="21">
        <v>216</v>
      </c>
      <c r="E181" s="117"/>
      <c r="F181" t="s">
        <v>93</v>
      </c>
      <c r="G181" s="11">
        <v>20.48</v>
      </c>
      <c r="H181" s="11">
        <v>4.0999999999999996</v>
      </c>
      <c r="I181" s="11">
        <f t="shared" si="9"/>
        <v>24.58</v>
      </c>
      <c r="J181" s="7">
        <v>201430</v>
      </c>
      <c r="L181" s="1">
        <v>42797</v>
      </c>
      <c r="M181" s="1"/>
    </row>
    <row r="182" spans="2:13" hidden="1" x14ac:dyDescent="0.3">
      <c r="C182" s="1">
        <v>42419</v>
      </c>
      <c r="D182" s="21">
        <v>217</v>
      </c>
      <c r="E182" s="117"/>
      <c r="F182" t="s">
        <v>149</v>
      </c>
      <c r="G182" s="11">
        <v>26.49</v>
      </c>
      <c r="H182" s="11">
        <v>5.3</v>
      </c>
      <c r="I182" s="11">
        <f t="shared" si="9"/>
        <v>31.79</v>
      </c>
      <c r="J182" s="7">
        <v>201431</v>
      </c>
      <c r="L182" s="1">
        <v>42797</v>
      </c>
      <c r="M182" s="1"/>
    </row>
    <row r="183" spans="2:13" hidden="1" x14ac:dyDescent="0.3">
      <c r="C183" s="1">
        <v>42786</v>
      </c>
      <c r="D183" s="21"/>
      <c r="E183" s="117"/>
      <c r="F183" t="s">
        <v>150</v>
      </c>
      <c r="G183" s="11">
        <v>15</v>
      </c>
      <c r="H183" s="11">
        <v>0</v>
      </c>
      <c r="I183" s="11">
        <v>15</v>
      </c>
      <c r="J183" s="7" t="s">
        <v>57</v>
      </c>
      <c r="L183" s="1">
        <v>42797</v>
      </c>
      <c r="M183" s="1"/>
    </row>
    <row r="184" spans="2:13" hidden="1" x14ac:dyDescent="0.3">
      <c r="C184" s="1">
        <v>42795</v>
      </c>
      <c r="D184" s="21">
        <v>189</v>
      </c>
      <c r="E184" s="117"/>
      <c r="F184" t="s">
        <v>78</v>
      </c>
      <c r="G184" s="11">
        <v>-126</v>
      </c>
      <c r="I184" s="11">
        <v>-126</v>
      </c>
      <c r="J184" s="7">
        <v>201405</v>
      </c>
      <c r="L184" s="1">
        <v>42797</v>
      </c>
      <c r="M184" s="1"/>
    </row>
    <row r="185" spans="2:13" hidden="1" x14ac:dyDescent="0.3">
      <c r="C185" s="1">
        <v>42795</v>
      </c>
      <c r="D185" s="21">
        <v>118</v>
      </c>
      <c r="E185" s="117"/>
      <c r="F185" t="s">
        <v>78</v>
      </c>
      <c r="G185" s="11">
        <v>-42</v>
      </c>
      <c r="I185" s="11">
        <v>-42</v>
      </c>
      <c r="J185" s="7">
        <v>201532</v>
      </c>
      <c r="L185" s="1">
        <v>42797</v>
      </c>
      <c r="M185" s="1"/>
    </row>
    <row r="186" spans="2:13" s="5" customFormat="1" hidden="1" x14ac:dyDescent="0.3">
      <c r="D186" s="22"/>
      <c r="E186" s="113"/>
      <c r="G186" s="12">
        <f>SUM(G170:G185)</f>
        <v>1211.6499999999999</v>
      </c>
      <c r="H186" s="12">
        <f>SUM(H170:H185)</f>
        <v>45.300000000000004</v>
      </c>
      <c r="I186" s="12">
        <f>SUM(I170:I185)</f>
        <v>1256.9499999999998</v>
      </c>
      <c r="J186" s="16"/>
      <c r="K186" s="8"/>
    </row>
    <row r="187" spans="2:13" hidden="1" x14ac:dyDescent="0.3">
      <c r="C187" s="1">
        <v>42793</v>
      </c>
      <c r="D187" s="21">
        <v>213</v>
      </c>
      <c r="E187" s="117"/>
      <c r="F187" t="s">
        <v>147</v>
      </c>
      <c r="G187" s="11">
        <v>318.14999999999998</v>
      </c>
      <c r="I187" s="11">
        <v>318.14999999999998</v>
      </c>
      <c r="J187" s="7">
        <v>201432</v>
      </c>
      <c r="L187" s="1">
        <v>42828</v>
      </c>
      <c r="M187" s="1"/>
    </row>
    <row r="188" spans="2:13" hidden="1" x14ac:dyDescent="0.3">
      <c r="C188" s="1">
        <v>42795</v>
      </c>
      <c r="D188" s="21">
        <v>218</v>
      </c>
      <c r="E188" s="117"/>
      <c r="F188" t="s">
        <v>151</v>
      </c>
      <c r="G188" s="11">
        <v>602.04999999999995</v>
      </c>
      <c r="I188" s="11">
        <v>602.04999999999995</v>
      </c>
      <c r="J188" s="7">
        <v>201434</v>
      </c>
      <c r="L188" s="1">
        <v>42828</v>
      </c>
      <c r="M188" s="1"/>
    </row>
    <row r="189" spans="2:13" hidden="1" x14ac:dyDescent="0.3">
      <c r="C189" s="1">
        <v>42795</v>
      </c>
      <c r="D189" s="21">
        <v>218</v>
      </c>
      <c r="E189" s="117"/>
      <c r="F189" t="s">
        <v>152</v>
      </c>
      <c r="G189" s="11">
        <v>15.07</v>
      </c>
      <c r="I189" s="11">
        <v>15.07</v>
      </c>
      <c r="J189" s="7">
        <v>201434</v>
      </c>
      <c r="L189" s="1">
        <v>42828</v>
      </c>
      <c r="M189" s="1"/>
    </row>
    <row r="190" spans="2:13" hidden="1" x14ac:dyDescent="0.3">
      <c r="C190" s="1">
        <v>42795</v>
      </c>
      <c r="D190" s="21">
        <v>218</v>
      </c>
      <c r="E190" s="117"/>
      <c r="F190" t="s">
        <v>113</v>
      </c>
      <c r="G190" s="11">
        <v>49.5</v>
      </c>
      <c r="I190" s="11">
        <v>49.5</v>
      </c>
      <c r="J190" s="7">
        <v>201434</v>
      </c>
      <c r="L190" s="1">
        <v>42828</v>
      </c>
      <c r="M190" s="1"/>
    </row>
    <row r="191" spans="2:13" hidden="1" x14ac:dyDescent="0.3">
      <c r="C191" s="1">
        <v>42813</v>
      </c>
      <c r="D191" s="21">
        <v>219</v>
      </c>
      <c r="E191" s="117"/>
      <c r="F191" t="s">
        <v>153</v>
      </c>
      <c r="G191" s="11">
        <v>250</v>
      </c>
      <c r="H191" s="11">
        <v>50</v>
      </c>
      <c r="I191" s="11">
        <f>SUM(G191:H191)</f>
        <v>300</v>
      </c>
      <c r="J191" s="7">
        <v>201435</v>
      </c>
      <c r="L191" s="1">
        <v>42828</v>
      </c>
      <c r="M191" s="1"/>
    </row>
    <row r="192" spans="2:13" hidden="1" x14ac:dyDescent="0.3">
      <c r="C192" s="1">
        <v>42813</v>
      </c>
      <c r="D192" s="21">
        <v>220</v>
      </c>
      <c r="E192" s="117"/>
      <c r="F192" t="s">
        <v>154</v>
      </c>
      <c r="G192" s="11">
        <v>555</v>
      </c>
      <c r="H192" s="11">
        <v>111</v>
      </c>
      <c r="I192" s="11">
        <f>SUM(G192:H192)</f>
        <v>666</v>
      </c>
      <c r="J192" s="7">
        <v>201436</v>
      </c>
      <c r="L192" s="1">
        <v>42828</v>
      </c>
      <c r="M192" s="1"/>
    </row>
    <row r="193" spans="3:20" hidden="1" x14ac:dyDescent="0.3">
      <c r="C193" s="1">
        <v>42813</v>
      </c>
      <c r="D193" s="21">
        <v>221</v>
      </c>
      <c r="E193" s="117"/>
      <c r="F193" t="s">
        <v>39</v>
      </c>
      <c r="G193" s="11">
        <v>180</v>
      </c>
      <c r="H193" s="11">
        <v>0</v>
      </c>
      <c r="I193" s="11">
        <f>SUM(G193:H193)</f>
        <v>180</v>
      </c>
      <c r="J193" s="7">
        <v>201437</v>
      </c>
      <c r="L193" s="1">
        <v>42828</v>
      </c>
      <c r="M193" s="1"/>
    </row>
    <row r="194" spans="3:20" hidden="1" x14ac:dyDescent="0.3">
      <c r="C194" s="1">
        <v>42813</v>
      </c>
      <c r="D194" s="21">
        <v>222</v>
      </c>
      <c r="E194" s="117"/>
      <c r="F194" t="s">
        <v>155</v>
      </c>
      <c r="G194" s="11">
        <v>693</v>
      </c>
      <c r="H194" s="11">
        <v>0</v>
      </c>
      <c r="I194" s="11">
        <f>SUM(G194:H194)</f>
        <v>693</v>
      </c>
      <c r="J194" s="7" t="s">
        <v>156</v>
      </c>
      <c r="L194" s="1">
        <v>42828</v>
      </c>
      <c r="M194" s="1"/>
    </row>
    <row r="195" spans="3:20" hidden="1" x14ac:dyDescent="0.3">
      <c r="D195" s="21"/>
      <c r="E195" s="117"/>
      <c r="G195" s="12">
        <f>SUM(G187:G194)</f>
        <v>2662.77</v>
      </c>
      <c r="H195" s="12">
        <f>SUM(H187:H194)</f>
        <v>161</v>
      </c>
      <c r="I195" s="12">
        <f>SUM(I187:I194)</f>
        <v>2823.77</v>
      </c>
    </row>
    <row r="196" spans="3:20" s="13" customFormat="1" hidden="1" x14ac:dyDescent="0.3">
      <c r="D196" s="24"/>
      <c r="E196" s="119"/>
      <c r="G196" s="15"/>
      <c r="H196" s="15"/>
      <c r="I196" s="15"/>
      <c r="J196" s="17"/>
      <c r="K196" s="25"/>
    </row>
    <row r="197" spans="3:20" hidden="1" x14ac:dyDescent="0.3">
      <c r="C197" s="1">
        <v>42829</v>
      </c>
      <c r="D197" s="21">
        <v>223</v>
      </c>
      <c r="E197" s="117"/>
      <c r="F197" t="s">
        <v>97</v>
      </c>
      <c r="G197" s="11">
        <v>70</v>
      </c>
      <c r="H197" s="11">
        <v>14</v>
      </c>
      <c r="I197" s="11">
        <v>84</v>
      </c>
      <c r="J197" s="7">
        <v>201438</v>
      </c>
    </row>
    <row r="198" spans="3:20" hidden="1" x14ac:dyDescent="0.3">
      <c r="D198" s="21">
        <v>224</v>
      </c>
      <c r="E198" s="117"/>
      <c r="F198" t="s">
        <v>159</v>
      </c>
      <c r="G198" s="11">
        <v>608.04999999999995</v>
      </c>
      <c r="H198" s="11">
        <v>0</v>
      </c>
      <c r="I198" s="11">
        <v>608.04999999999995</v>
      </c>
      <c r="J198" s="7">
        <v>201439</v>
      </c>
    </row>
    <row r="199" spans="3:20" hidden="1" x14ac:dyDescent="0.3">
      <c r="D199" s="21">
        <v>224</v>
      </c>
      <c r="E199" s="117"/>
      <c r="F199" t="s">
        <v>160</v>
      </c>
      <c r="G199" s="11">
        <v>15.07</v>
      </c>
      <c r="H199" s="11">
        <v>0</v>
      </c>
      <c r="I199" s="11">
        <v>15.07</v>
      </c>
      <c r="J199" s="7">
        <v>201439</v>
      </c>
    </row>
    <row r="200" spans="3:20" hidden="1" x14ac:dyDescent="0.3">
      <c r="D200" s="21">
        <v>224</v>
      </c>
      <c r="E200" s="117"/>
      <c r="F200" t="s">
        <v>161</v>
      </c>
      <c r="G200" s="11">
        <v>40.5</v>
      </c>
      <c r="H200" s="11">
        <v>0</v>
      </c>
      <c r="I200" s="11">
        <v>40.5</v>
      </c>
      <c r="J200" s="7">
        <v>201439</v>
      </c>
    </row>
    <row r="201" spans="3:20" hidden="1" x14ac:dyDescent="0.3">
      <c r="D201" s="21">
        <v>225</v>
      </c>
      <c r="E201" s="117"/>
      <c r="F201" t="s">
        <v>39</v>
      </c>
      <c r="G201" s="11">
        <v>180</v>
      </c>
      <c r="H201" s="11">
        <v>0</v>
      </c>
      <c r="I201" s="11">
        <v>180</v>
      </c>
      <c r="J201" s="7">
        <v>201440</v>
      </c>
    </row>
    <row r="202" spans="3:20" hidden="1" x14ac:dyDescent="0.3">
      <c r="D202" s="21"/>
      <c r="E202" s="117"/>
      <c r="G202" s="12">
        <f>SUM(G197:G201)</f>
        <v>913.62</v>
      </c>
      <c r="H202" s="12">
        <f>SUM(H197:H201)</f>
        <v>14</v>
      </c>
      <c r="I202" s="12">
        <f>SUM(I197:I201)</f>
        <v>927.62</v>
      </c>
      <c r="T202" s="5" t="s">
        <v>68</v>
      </c>
    </row>
    <row r="203" spans="3:20" hidden="1" x14ac:dyDescent="0.3">
      <c r="C203" s="1">
        <v>42857</v>
      </c>
      <c r="D203" s="21">
        <v>226</v>
      </c>
      <c r="E203" s="117"/>
      <c r="F203" t="s">
        <v>162</v>
      </c>
      <c r="G203" s="11">
        <v>25</v>
      </c>
      <c r="H203" s="11">
        <v>0</v>
      </c>
      <c r="I203" s="11">
        <v>25</v>
      </c>
      <c r="J203" s="7">
        <v>201441</v>
      </c>
      <c r="N203" s="5"/>
      <c r="O203" s="5"/>
      <c r="P203" s="5" t="s">
        <v>12</v>
      </c>
      <c r="Q203" s="5"/>
      <c r="R203" s="5" t="s">
        <v>13</v>
      </c>
      <c r="S203" s="5" t="s">
        <v>14</v>
      </c>
      <c r="T203" s="5">
        <v>983.39</v>
      </c>
    </row>
    <row r="204" spans="3:20" hidden="1" x14ac:dyDescent="0.3">
      <c r="D204" s="21">
        <v>227</v>
      </c>
      <c r="E204" s="117"/>
      <c r="F204" t="s">
        <v>159</v>
      </c>
      <c r="G204" s="11">
        <v>608.04999999999995</v>
      </c>
      <c r="H204" s="11">
        <v>0</v>
      </c>
      <c r="I204" s="11">
        <v>608.04999999999995</v>
      </c>
      <c r="J204" s="7">
        <v>201442</v>
      </c>
      <c r="N204" s="5" t="s">
        <v>5</v>
      </c>
      <c r="O204" s="5"/>
      <c r="P204">
        <v>927.62</v>
      </c>
      <c r="R204">
        <v>366.96</v>
      </c>
      <c r="S204">
        <v>0</v>
      </c>
      <c r="T204">
        <f>T203-P204+R204+S204</f>
        <v>422.72999999999996</v>
      </c>
    </row>
    <row r="205" spans="3:20" hidden="1" x14ac:dyDescent="0.3">
      <c r="D205" s="19">
        <v>227</v>
      </c>
      <c r="F205" t="s">
        <v>160</v>
      </c>
      <c r="G205" s="11">
        <v>15.07</v>
      </c>
      <c r="H205" s="11">
        <v>0</v>
      </c>
      <c r="I205" s="11">
        <v>15.07</v>
      </c>
      <c r="J205" s="7">
        <v>201442</v>
      </c>
      <c r="N205" s="5" t="s">
        <v>7</v>
      </c>
      <c r="O205" s="5"/>
      <c r="P205">
        <v>1759.2</v>
      </c>
      <c r="R205">
        <v>361.76</v>
      </c>
      <c r="S205">
        <v>2000</v>
      </c>
      <c r="T205">
        <f>T204+S205+R205-P205</f>
        <v>1025.2899999999997</v>
      </c>
    </row>
    <row r="206" spans="3:20" hidden="1" x14ac:dyDescent="0.3">
      <c r="D206" s="21">
        <v>228</v>
      </c>
      <c r="E206" s="117"/>
      <c r="F206" t="s">
        <v>97</v>
      </c>
      <c r="G206" s="11">
        <v>73.7</v>
      </c>
      <c r="H206" s="11">
        <v>14.74</v>
      </c>
      <c r="I206" s="11">
        <v>88.44</v>
      </c>
      <c r="J206" s="7">
        <v>201443</v>
      </c>
      <c r="N206" s="5" t="s">
        <v>8</v>
      </c>
      <c r="O206" s="5"/>
      <c r="P206">
        <v>2082.38</v>
      </c>
      <c r="R206">
        <v>372.56</v>
      </c>
      <c r="S206">
        <v>2000</v>
      </c>
      <c r="T206">
        <f>T205-P206+R206+S206</f>
        <v>1315.4699999999996</v>
      </c>
    </row>
    <row r="207" spans="3:20" hidden="1" x14ac:dyDescent="0.3">
      <c r="D207" s="21">
        <v>229</v>
      </c>
      <c r="E207" s="117"/>
      <c r="F207" t="s">
        <v>163</v>
      </c>
      <c r="G207" s="11">
        <v>19.86</v>
      </c>
      <c r="H207" s="11">
        <v>0</v>
      </c>
      <c r="I207" s="11">
        <v>19.86</v>
      </c>
      <c r="J207" s="7">
        <v>201444</v>
      </c>
      <c r="N207" s="5" t="s">
        <v>9</v>
      </c>
      <c r="O207" s="5"/>
      <c r="P207">
        <v>2064.9</v>
      </c>
      <c r="R207">
        <v>354.72</v>
      </c>
      <c r="S207">
        <v>1000</v>
      </c>
      <c r="T207" s="4">
        <f>T206-P207+R207+S207</f>
        <v>605.28999999999951</v>
      </c>
    </row>
    <row r="208" spans="3:20" hidden="1" x14ac:dyDescent="0.3">
      <c r="D208" s="21">
        <v>230</v>
      </c>
      <c r="E208" s="117"/>
      <c r="F208" t="s">
        <v>149</v>
      </c>
      <c r="G208" s="11">
        <v>21.59</v>
      </c>
      <c r="H208" s="11">
        <v>4.3099999999999996</v>
      </c>
      <c r="I208" s="11">
        <v>25.9</v>
      </c>
      <c r="J208" s="7">
        <v>201445</v>
      </c>
      <c r="N208" s="5" t="s">
        <v>10</v>
      </c>
      <c r="O208" s="5"/>
      <c r="P208">
        <v>1476.73</v>
      </c>
      <c r="R208" s="4">
        <v>93.76</v>
      </c>
      <c r="S208">
        <v>2000</v>
      </c>
      <c r="T208">
        <f>T207-P208+R208+S208</f>
        <v>1222.3199999999995</v>
      </c>
    </row>
    <row r="209" spans="2:20" hidden="1" x14ac:dyDescent="0.3">
      <c r="D209" s="21">
        <v>231</v>
      </c>
      <c r="E209" s="117"/>
      <c r="F209" t="s">
        <v>128</v>
      </c>
      <c r="G209" s="11">
        <v>13.44</v>
      </c>
      <c r="H209" s="11">
        <v>0</v>
      </c>
      <c r="I209" s="11">
        <v>13.44</v>
      </c>
      <c r="J209" s="7">
        <v>201446</v>
      </c>
      <c r="N209" s="5" t="s">
        <v>11</v>
      </c>
      <c r="O209" s="5"/>
      <c r="P209">
        <v>1469.54</v>
      </c>
      <c r="R209">
        <v>919.5</v>
      </c>
      <c r="S209">
        <v>1000</v>
      </c>
      <c r="T209">
        <f>T208-P209+R209+1000</f>
        <v>1672.2799999999995</v>
      </c>
    </row>
    <row r="210" spans="2:20" hidden="1" x14ac:dyDescent="0.3">
      <c r="D210" s="21">
        <v>232</v>
      </c>
      <c r="E210" s="117"/>
      <c r="F210" t="s">
        <v>39</v>
      </c>
      <c r="G210" s="11">
        <v>180</v>
      </c>
      <c r="H210" s="11">
        <v>0</v>
      </c>
      <c r="I210" s="11">
        <v>180</v>
      </c>
      <c r="J210" s="7">
        <v>201447</v>
      </c>
      <c r="N210" s="5" t="s">
        <v>15</v>
      </c>
      <c r="O210" s="5"/>
      <c r="P210">
        <v>1331.82</v>
      </c>
      <c r="R210">
        <v>12.48</v>
      </c>
      <c r="S210">
        <v>0</v>
      </c>
      <c r="T210">
        <f>T209-P210+R210+S210</f>
        <v>352.9399999999996</v>
      </c>
    </row>
    <row r="211" spans="2:20" hidden="1" x14ac:dyDescent="0.3">
      <c r="D211" s="21">
        <v>233</v>
      </c>
      <c r="E211" s="117"/>
      <c r="F211" t="s">
        <v>164</v>
      </c>
      <c r="G211" s="11">
        <v>100</v>
      </c>
      <c r="H211" s="11">
        <v>20</v>
      </c>
      <c r="I211" s="11">
        <v>120</v>
      </c>
      <c r="J211" s="7">
        <v>201448</v>
      </c>
      <c r="N211" s="5" t="s">
        <v>16</v>
      </c>
      <c r="O211" s="5"/>
      <c r="P211">
        <v>5179.3500000000004</v>
      </c>
      <c r="R211">
        <v>595.67999999999995</v>
      </c>
      <c r="S211">
        <v>6000</v>
      </c>
      <c r="T211">
        <f>T210-P211+R211+S211</f>
        <v>1769.2699999999995</v>
      </c>
    </row>
    <row r="212" spans="2:20" hidden="1" x14ac:dyDescent="0.3">
      <c r="D212" s="21">
        <v>234</v>
      </c>
      <c r="E212" s="117"/>
      <c r="F212" t="s">
        <v>82</v>
      </c>
      <c r="G212" s="11">
        <v>631.85</v>
      </c>
      <c r="H212" s="11">
        <v>31.59</v>
      </c>
      <c r="I212" s="11">
        <v>663.44</v>
      </c>
      <c r="J212" s="7">
        <v>201449</v>
      </c>
      <c r="N212" s="5" t="s">
        <v>17</v>
      </c>
      <c r="O212" s="5"/>
      <c r="P212" s="11">
        <v>3561.44</v>
      </c>
      <c r="Q212" s="11"/>
      <c r="R212" s="11">
        <v>3122.76</v>
      </c>
      <c r="S212" s="11">
        <v>2000</v>
      </c>
      <c r="T212" s="11">
        <f>T211-P212+R212+S212</f>
        <v>3330.5899999999997</v>
      </c>
    </row>
    <row r="213" spans="2:20" hidden="1" x14ac:dyDescent="0.3">
      <c r="G213" s="12">
        <f>SUM(G203:G212)</f>
        <v>1688.56</v>
      </c>
      <c r="H213" s="12">
        <f>SUM(H203:H212)</f>
        <v>70.64</v>
      </c>
      <c r="I213" s="12">
        <f>SUM(I203:I212)</f>
        <v>1759.2</v>
      </c>
      <c r="N213" s="5" t="s">
        <v>18</v>
      </c>
      <c r="O213" s="5"/>
      <c r="P213">
        <v>2319.6</v>
      </c>
      <c r="R213">
        <v>990.6</v>
      </c>
      <c r="S213">
        <v>1500</v>
      </c>
      <c r="T213" s="11">
        <f>T212-P213+R213+S213</f>
        <v>3501.5899999999997</v>
      </c>
    </row>
    <row r="214" spans="2:20" hidden="1" x14ac:dyDescent="0.3">
      <c r="B214" t="s">
        <v>175</v>
      </c>
      <c r="C214" s="1">
        <v>42892</v>
      </c>
      <c r="D214" s="21">
        <v>235</v>
      </c>
      <c r="E214" s="117"/>
      <c r="F214" t="s">
        <v>167</v>
      </c>
      <c r="G214" s="11">
        <v>185</v>
      </c>
      <c r="H214" s="11">
        <v>37</v>
      </c>
      <c r="I214" s="11">
        <f t="shared" ref="I214:I234" si="10">SUM(G214:H214)</f>
        <v>222</v>
      </c>
      <c r="J214" s="7">
        <v>201450</v>
      </c>
      <c r="N214" s="5" t="s">
        <v>19</v>
      </c>
      <c r="O214" s="5"/>
      <c r="P214">
        <v>1811.58</v>
      </c>
      <c r="R214">
        <v>209.84</v>
      </c>
      <c r="S214">
        <v>0</v>
      </c>
      <c r="T214" s="11">
        <f>T213-P214+R214</f>
        <v>1899.8499999999997</v>
      </c>
    </row>
    <row r="215" spans="2:20" hidden="1" x14ac:dyDescent="0.3">
      <c r="D215" s="21">
        <v>236</v>
      </c>
      <c r="E215" s="117"/>
      <c r="F215" t="s">
        <v>168</v>
      </c>
      <c r="G215" s="11">
        <v>42.3</v>
      </c>
      <c r="H215" s="11">
        <v>8.4600000000000009</v>
      </c>
      <c r="I215" s="11">
        <f t="shared" si="10"/>
        <v>50.76</v>
      </c>
      <c r="J215" s="7">
        <v>201451</v>
      </c>
      <c r="N215" s="5" t="s">
        <v>20</v>
      </c>
      <c r="O215" s="5"/>
      <c r="P215">
        <v>2050.2399999999998</v>
      </c>
      <c r="R215">
        <v>2190.6799999999998</v>
      </c>
      <c r="S215">
        <v>0</v>
      </c>
      <c r="T215" s="11">
        <f>T214-P215+R215+S215</f>
        <v>2040.2899999999997</v>
      </c>
    </row>
    <row r="216" spans="2:20" hidden="1" x14ac:dyDescent="0.3">
      <c r="D216" s="21">
        <v>237</v>
      </c>
      <c r="E216" s="117"/>
      <c r="F216" t="s">
        <v>169</v>
      </c>
      <c r="G216" s="11">
        <v>232</v>
      </c>
      <c r="H216" s="11">
        <v>0</v>
      </c>
      <c r="I216" s="11">
        <f t="shared" si="10"/>
        <v>232</v>
      </c>
      <c r="J216" s="7">
        <v>201452</v>
      </c>
    </row>
    <row r="217" spans="2:20" hidden="1" x14ac:dyDescent="0.3">
      <c r="D217" s="21">
        <v>238</v>
      </c>
      <c r="E217" s="117"/>
      <c r="F217" t="s">
        <v>31</v>
      </c>
      <c r="G217" s="11">
        <v>200</v>
      </c>
      <c r="H217" s="11">
        <v>0</v>
      </c>
      <c r="I217" s="11">
        <f t="shared" si="10"/>
        <v>200</v>
      </c>
      <c r="J217" s="7">
        <v>201453</v>
      </c>
      <c r="P217">
        <f>SUM(P204:P216)</f>
        <v>26034.399999999994</v>
      </c>
      <c r="R217">
        <f>SUM(R204:R216)</f>
        <v>9591.3000000000011</v>
      </c>
      <c r="S217">
        <f>SUM(S204:S216)</f>
        <v>17500</v>
      </c>
    </row>
    <row r="218" spans="2:20" hidden="1" x14ac:dyDescent="0.3">
      <c r="D218" s="21">
        <v>239</v>
      </c>
      <c r="E218" s="117"/>
      <c r="F218" t="s">
        <v>170</v>
      </c>
      <c r="G218" s="11">
        <v>15</v>
      </c>
      <c r="H218" s="11">
        <v>0</v>
      </c>
      <c r="I218" s="11">
        <f t="shared" si="10"/>
        <v>15</v>
      </c>
      <c r="J218" s="7">
        <v>201454</v>
      </c>
    </row>
    <row r="219" spans="2:20" hidden="1" x14ac:dyDescent="0.3">
      <c r="D219" s="21">
        <v>240</v>
      </c>
      <c r="E219" s="117"/>
      <c r="F219" t="s">
        <v>159</v>
      </c>
      <c r="G219" s="11">
        <v>608.04999999999995</v>
      </c>
      <c r="H219" s="11">
        <v>0</v>
      </c>
      <c r="I219" s="11">
        <f t="shared" si="10"/>
        <v>608.04999999999995</v>
      </c>
      <c r="J219" s="7">
        <v>201454</v>
      </c>
    </row>
    <row r="220" spans="2:20" hidden="1" x14ac:dyDescent="0.3">
      <c r="D220" s="21">
        <v>240</v>
      </c>
      <c r="E220" s="117"/>
      <c r="F220" t="s">
        <v>160</v>
      </c>
      <c r="G220" s="11">
        <v>15.07</v>
      </c>
      <c r="H220" s="11">
        <v>0</v>
      </c>
      <c r="I220" s="11">
        <f t="shared" si="10"/>
        <v>15.07</v>
      </c>
      <c r="J220" s="7">
        <v>201455</v>
      </c>
    </row>
    <row r="221" spans="2:20" hidden="1" x14ac:dyDescent="0.3">
      <c r="D221" s="21">
        <v>241</v>
      </c>
      <c r="E221" s="117"/>
      <c r="F221" t="s">
        <v>171</v>
      </c>
      <c r="G221" s="11">
        <v>40</v>
      </c>
      <c r="H221" s="11">
        <v>0</v>
      </c>
      <c r="I221" s="11">
        <f t="shared" si="10"/>
        <v>40</v>
      </c>
      <c r="J221" s="7">
        <v>201456</v>
      </c>
    </row>
    <row r="222" spans="2:20" hidden="1" x14ac:dyDescent="0.3">
      <c r="D222" s="21">
        <v>242</v>
      </c>
      <c r="E222" s="117"/>
      <c r="F222" t="s">
        <v>172</v>
      </c>
      <c r="G222" s="11">
        <v>185</v>
      </c>
      <c r="H222" s="11">
        <v>37</v>
      </c>
      <c r="I222" s="11">
        <f t="shared" si="10"/>
        <v>222</v>
      </c>
      <c r="J222" s="7">
        <v>201457</v>
      </c>
    </row>
    <row r="223" spans="2:20" hidden="1" x14ac:dyDescent="0.3">
      <c r="D223" s="21">
        <v>243</v>
      </c>
      <c r="E223" s="117"/>
      <c r="F223" t="s">
        <v>39</v>
      </c>
      <c r="G223" s="11">
        <v>477.5</v>
      </c>
      <c r="H223" s="11">
        <v>0</v>
      </c>
      <c r="I223" s="11">
        <f t="shared" si="10"/>
        <v>477.5</v>
      </c>
      <c r="J223" s="7">
        <v>201458</v>
      </c>
    </row>
    <row r="224" spans="2:20" hidden="1" x14ac:dyDescent="0.3">
      <c r="D224" s="21"/>
      <c r="E224" s="117"/>
      <c r="G224" s="12">
        <f>SUM(G214:G223)</f>
        <v>1999.9199999999998</v>
      </c>
      <c r="H224" s="12">
        <f>SUM(H214:H223)</f>
        <v>82.460000000000008</v>
      </c>
      <c r="I224" s="12">
        <f t="shared" si="10"/>
        <v>2082.3799999999997</v>
      </c>
    </row>
    <row r="225" spans="2:10" hidden="1" x14ac:dyDescent="0.3">
      <c r="B225" t="s">
        <v>174</v>
      </c>
      <c r="C225" s="1">
        <v>42919</v>
      </c>
      <c r="D225" s="21">
        <v>244</v>
      </c>
      <c r="E225" s="117"/>
      <c r="F225" t="s">
        <v>173</v>
      </c>
      <c r="G225" s="11">
        <v>16.989999999999998</v>
      </c>
      <c r="H225" s="11">
        <v>0</v>
      </c>
      <c r="I225" s="11">
        <f t="shared" si="10"/>
        <v>16.989999999999998</v>
      </c>
      <c r="J225" s="7">
        <v>201459</v>
      </c>
    </row>
    <row r="226" spans="2:10" hidden="1" x14ac:dyDescent="0.3">
      <c r="C226" s="1">
        <v>42919</v>
      </c>
      <c r="D226" s="21">
        <v>245</v>
      </c>
      <c r="E226" s="117"/>
      <c r="F226" t="s">
        <v>128</v>
      </c>
      <c r="G226" s="11">
        <v>18.440000000000001</v>
      </c>
      <c r="H226" s="11">
        <v>0</v>
      </c>
      <c r="I226" s="11">
        <f t="shared" si="10"/>
        <v>18.440000000000001</v>
      </c>
      <c r="J226" s="7">
        <v>201460</v>
      </c>
    </row>
    <row r="227" spans="2:10" hidden="1" x14ac:dyDescent="0.3">
      <c r="C227" s="1">
        <v>42919</v>
      </c>
      <c r="D227" s="21">
        <v>246</v>
      </c>
      <c r="E227" s="117"/>
      <c r="F227" t="s">
        <v>97</v>
      </c>
      <c r="G227" s="11">
        <v>70</v>
      </c>
      <c r="H227" s="11">
        <v>14</v>
      </c>
      <c r="I227" s="11">
        <f t="shared" si="10"/>
        <v>84</v>
      </c>
      <c r="J227" s="7">
        <v>201461</v>
      </c>
    </row>
    <row r="228" spans="2:10" hidden="1" x14ac:dyDescent="0.3">
      <c r="C228" s="1">
        <v>42919</v>
      </c>
      <c r="D228" s="21">
        <v>247</v>
      </c>
      <c r="E228" s="117"/>
      <c r="F228" t="s">
        <v>98</v>
      </c>
      <c r="G228" s="11">
        <v>74.349999999999994</v>
      </c>
      <c r="H228" s="11">
        <v>0</v>
      </c>
      <c r="I228" s="11">
        <f t="shared" si="10"/>
        <v>74.349999999999994</v>
      </c>
      <c r="J228" s="7">
        <v>201462</v>
      </c>
    </row>
    <row r="229" spans="2:10" hidden="1" x14ac:dyDescent="0.3">
      <c r="C229" s="1">
        <v>42919</v>
      </c>
      <c r="D229" s="21">
        <v>248</v>
      </c>
      <c r="E229" s="117"/>
      <c r="F229" t="s">
        <v>153</v>
      </c>
      <c r="G229" s="11">
        <v>108</v>
      </c>
      <c r="H229" s="11">
        <v>0</v>
      </c>
      <c r="I229" s="11">
        <f t="shared" si="10"/>
        <v>108</v>
      </c>
      <c r="J229" s="7">
        <v>201463</v>
      </c>
    </row>
    <row r="230" spans="2:10" hidden="1" x14ac:dyDescent="0.3">
      <c r="C230" s="1">
        <v>42919</v>
      </c>
      <c r="D230" s="21">
        <v>249</v>
      </c>
      <c r="E230" s="117"/>
      <c r="F230" t="s">
        <v>159</v>
      </c>
      <c r="G230" s="11">
        <v>608.04999999999995</v>
      </c>
      <c r="H230" s="11">
        <v>0</v>
      </c>
      <c r="I230" s="11">
        <f t="shared" si="10"/>
        <v>608.04999999999995</v>
      </c>
      <c r="J230" s="7">
        <v>201464</v>
      </c>
    </row>
    <row r="231" spans="2:10" hidden="1" x14ac:dyDescent="0.3">
      <c r="C231" s="1">
        <v>42919</v>
      </c>
      <c r="D231" s="21">
        <v>249</v>
      </c>
      <c r="E231" s="117"/>
      <c r="F231" t="s">
        <v>160</v>
      </c>
      <c r="G231" s="11">
        <v>15.07</v>
      </c>
      <c r="H231" s="11">
        <v>0</v>
      </c>
      <c r="I231" s="11">
        <f t="shared" si="10"/>
        <v>15.07</v>
      </c>
      <c r="J231" s="7">
        <v>201464</v>
      </c>
    </row>
    <row r="232" spans="2:10" hidden="1" x14ac:dyDescent="0.3">
      <c r="C232" s="1">
        <v>42919</v>
      </c>
      <c r="D232" s="21">
        <v>250</v>
      </c>
      <c r="E232" s="117"/>
      <c r="F232" t="s">
        <v>39</v>
      </c>
      <c r="G232" s="11">
        <v>180</v>
      </c>
      <c r="H232" s="11">
        <v>0</v>
      </c>
      <c r="I232" s="11">
        <f t="shared" si="10"/>
        <v>180</v>
      </c>
      <c r="J232" s="7">
        <v>201465</v>
      </c>
    </row>
    <row r="233" spans="2:10" hidden="1" x14ac:dyDescent="0.3">
      <c r="C233" s="1">
        <v>42919</v>
      </c>
      <c r="D233" s="21">
        <v>251</v>
      </c>
      <c r="E233" s="117"/>
      <c r="F233" t="s">
        <v>177</v>
      </c>
      <c r="G233" s="11">
        <v>800</v>
      </c>
      <c r="H233" s="11">
        <v>160</v>
      </c>
      <c r="I233" s="11">
        <f t="shared" si="10"/>
        <v>960</v>
      </c>
      <c r="J233" s="7">
        <v>201466</v>
      </c>
    </row>
    <row r="234" spans="2:10" hidden="1" x14ac:dyDescent="0.3">
      <c r="D234" s="21"/>
      <c r="E234" s="117"/>
      <c r="G234" s="12">
        <f>SUM(G225:G233)</f>
        <v>1890.9</v>
      </c>
      <c r="H234" s="12">
        <f>SUM(H225:H233)</f>
        <v>174</v>
      </c>
      <c r="I234" s="12">
        <f t="shared" si="10"/>
        <v>2064.9</v>
      </c>
    </row>
    <row r="235" spans="2:10" hidden="1" x14ac:dyDescent="0.3">
      <c r="B235" t="s">
        <v>176</v>
      </c>
      <c r="C235" s="1">
        <v>42948</v>
      </c>
      <c r="D235" s="21">
        <v>252</v>
      </c>
      <c r="E235" s="117"/>
      <c r="F235" t="s">
        <v>178</v>
      </c>
      <c r="G235" s="11">
        <v>279</v>
      </c>
      <c r="H235" s="11">
        <v>55.8</v>
      </c>
      <c r="I235" s="11">
        <v>334.8</v>
      </c>
      <c r="J235" s="7">
        <v>201467</v>
      </c>
    </row>
    <row r="236" spans="2:10" hidden="1" x14ac:dyDescent="0.3">
      <c r="C236" s="1">
        <v>42948</v>
      </c>
      <c r="D236" s="21">
        <v>253</v>
      </c>
      <c r="E236" s="117"/>
      <c r="F236" t="s">
        <v>97</v>
      </c>
      <c r="G236" s="11">
        <v>72.7</v>
      </c>
      <c r="H236" s="11">
        <v>14.54</v>
      </c>
      <c r="I236" s="11">
        <f t="shared" ref="I236:I241" si="11">SUM(G236:H236)</f>
        <v>87.240000000000009</v>
      </c>
      <c r="J236" s="7">
        <v>201468</v>
      </c>
    </row>
    <row r="237" spans="2:10" hidden="1" x14ac:dyDescent="0.3">
      <c r="C237" s="1">
        <v>42948</v>
      </c>
      <c r="D237" s="21">
        <v>254</v>
      </c>
      <c r="E237" s="117"/>
      <c r="F237" t="s">
        <v>39</v>
      </c>
      <c r="G237" s="11">
        <v>180</v>
      </c>
      <c r="H237" s="11">
        <v>0</v>
      </c>
      <c r="I237" s="11">
        <f t="shared" si="11"/>
        <v>180</v>
      </c>
      <c r="J237" s="7">
        <v>201469</v>
      </c>
    </row>
    <row r="238" spans="2:10" hidden="1" x14ac:dyDescent="0.3">
      <c r="C238" s="1">
        <v>42948</v>
      </c>
      <c r="D238" s="21">
        <v>255</v>
      </c>
      <c r="E238" s="117"/>
      <c r="F238" t="s">
        <v>159</v>
      </c>
      <c r="G238" s="11">
        <v>608.04999999999995</v>
      </c>
      <c r="H238" s="11">
        <v>0</v>
      </c>
      <c r="I238" s="11">
        <f t="shared" si="11"/>
        <v>608.04999999999995</v>
      </c>
      <c r="J238" s="7">
        <v>201470</v>
      </c>
    </row>
    <row r="239" spans="2:10" hidden="1" x14ac:dyDescent="0.3">
      <c r="C239" s="1">
        <v>42948</v>
      </c>
      <c r="D239" s="21">
        <v>255</v>
      </c>
      <c r="E239" s="117"/>
      <c r="F239" t="s">
        <v>160</v>
      </c>
      <c r="G239" s="11">
        <v>15.07</v>
      </c>
      <c r="H239" s="11">
        <v>0</v>
      </c>
      <c r="I239" s="11">
        <f t="shared" si="11"/>
        <v>15.07</v>
      </c>
      <c r="J239" s="7">
        <v>201470</v>
      </c>
    </row>
    <row r="240" spans="2:10" hidden="1" x14ac:dyDescent="0.3">
      <c r="C240" s="1">
        <v>42948</v>
      </c>
      <c r="D240" s="21">
        <v>256</v>
      </c>
      <c r="E240" s="117"/>
      <c r="F240" t="s">
        <v>82</v>
      </c>
      <c r="G240" s="11">
        <v>238.64</v>
      </c>
      <c r="H240" s="11">
        <v>11.93</v>
      </c>
      <c r="I240" s="11">
        <f t="shared" si="11"/>
        <v>250.57</v>
      </c>
      <c r="J240" s="7">
        <v>201471</v>
      </c>
    </row>
    <row r="241" spans="2:13" hidden="1" x14ac:dyDescent="0.3">
      <c r="C241" s="1">
        <v>42962</v>
      </c>
      <c r="D241" s="21">
        <v>257</v>
      </c>
      <c r="E241" s="117"/>
      <c r="F241" t="s">
        <v>181</v>
      </c>
      <c r="G241" s="11">
        <v>1</v>
      </c>
      <c r="H241" s="11">
        <v>0</v>
      </c>
      <c r="I241" s="11">
        <f t="shared" si="11"/>
        <v>1</v>
      </c>
      <c r="J241" s="7">
        <v>201472</v>
      </c>
    </row>
    <row r="242" spans="2:13" hidden="1" x14ac:dyDescent="0.3">
      <c r="D242" s="21"/>
      <c r="E242" s="117"/>
      <c r="G242" s="12">
        <f>SUM(G235:G241)</f>
        <v>1394.46</v>
      </c>
      <c r="H242" s="12">
        <f>SUM(H235:H241)</f>
        <v>82.27000000000001</v>
      </c>
      <c r="I242" s="12">
        <f>SUM(I235:I241)</f>
        <v>1476.7299999999998</v>
      </c>
    </row>
    <row r="243" spans="2:13" hidden="1" x14ac:dyDescent="0.3">
      <c r="B243" s="6">
        <v>42979</v>
      </c>
      <c r="C243" s="1">
        <v>42982</v>
      </c>
      <c r="D243" s="21">
        <v>258</v>
      </c>
      <c r="E243" s="117"/>
      <c r="F243" t="s">
        <v>31</v>
      </c>
      <c r="G243" s="11">
        <v>175</v>
      </c>
      <c r="H243" s="11">
        <v>0</v>
      </c>
      <c r="I243" s="11">
        <v>175</v>
      </c>
      <c r="J243" s="7">
        <v>201473</v>
      </c>
    </row>
    <row r="244" spans="2:13" hidden="1" x14ac:dyDescent="0.3">
      <c r="C244" s="1">
        <v>42982</v>
      </c>
      <c r="D244" s="21">
        <v>259</v>
      </c>
      <c r="E244" s="117"/>
      <c r="F244" t="s">
        <v>159</v>
      </c>
      <c r="G244" s="11">
        <v>608.04999999999995</v>
      </c>
      <c r="H244" s="11">
        <v>0</v>
      </c>
      <c r="I244" s="11">
        <f>SUM(G244:H244)</f>
        <v>608.04999999999995</v>
      </c>
      <c r="J244" s="7">
        <v>201474</v>
      </c>
    </row>
    <row r="245" spans="2:13" hidden="1" x14ac:dyDescent="0.3">
      <c r="C245" s="1">
        <v>42982</v>
      </c>
      <c r="D245" s="21">
        <v>259</v>
      </c>
      <c r="E245" s="117"/>
      <c r="F245" t="s">
        <v>160</v>
      </c>
      <c r="G245" s="11">
        <v>15.07</v>
      </c>
      <c r="H245" s="11">
        <v>0</v>
      </c>
      <c r="I245" s="11">
        <f>SUM(G245:H245)</f>
        <v>15.07</v>
      </c>
      <c r="J245" s="7">
        <v>201474</v>
      </c>
    </row>
    <row r="246" spans="2:13" hidden="1" x14ac:dyDescent="0.3">
      <c r="C246" s="1">
        <v>42982</v>
      </c>
      <c r="D246" s="21">
        <v>260</v>
      </c>
      <c r="E246" s="117"/>
      <c r="F246" t="s">
        <v>39</v>
      </c>
      <c r="G246" s="11">
        <v>180</v>
      </c>
      <c r="H246" s="11">
        <v>0</v>
      </c>
      <c r="I246" s="11">
        <v>180</v>
      </c>
      <c r="J246" s="7">
        <v>201475</v>
      </c>
    </row>
    <row r="247" spans="2:13" hidden="1" x14ac:dyDescent="0.3">
      <c r="C247" s="1">
        <v>42982</v>
      </c>
      <c r="D247" s="21">
        <v>261</v>
      </c>
      <c r="E247" s="117"/>
      <c r="F247" t="s">
        <v>182</v>
      </c>
      <c r="G247" s="11">
        <v>185</v>
      </c>
      <c r="H247" s="11">
        <v>37</v>
      </c>
      <c r="I247" s="11">
        <v>222</v>
      </c>
      <c r="J247" s="7">
        <v>201476</v>
      </c>
    </row>
    <row r="248" spans="2:13" hidden="1" x14ac:dyDescent="0.3">
      <c r="C248" s="1">
        <v>42982</v>
      </c>
      <c r="D248" s="21">
        <v>262</v>
      </c>
      <c r="E248" s="117"/>
      <c r="F248" t="s">
        <v>183</v>
      </c>
      <c r="G248" s="11">
        <v>185</v>
      </c>
      <c r="H248" s="11">
        <v>37</v>
      </c>
      <c r="I248" s="11">
        <v>222</v>
      </c>
      <c r="J248" s="7">
        <v>201477</v>
      </c>
    </row>
    <row r="249" spans="2:13" hidden="1" x14ac:dyDescent="0.3">
      <c r="C249" s="1">
        <v>42982</v>
      </c>
      <c r="D249" s="21">
        <v>263</v>
      </c>
      <c r="E249" s="117"/>
      <c r="F249" t="s">
        <v>173</v>
      </c>
      <c r="G249" s="11">
        <v>33.979999999999997</v>
      </c>
      <c r="H249" s="11">
        <v>0</v>
      </c>
      <c r="I249" s="11">
        <v>33.979999999999997</v>
      </c>
      <c r="J249" s="7">
        <v>201478</v>
      </c>
    </row>
    <row r="250" spans="2:13" hidden="1" x14ac:dyDescent="0.3">
      <c r="C250" s="1">
        <v>42982</v>
      </c>
      <c r="D250" s="21">
        <v>264</v>
      </c>
      <c r="E250" s="117"/>
      <c r="F250" t="s">
        <v>128</v>
      </c>
      <c r="G250" s="11">
        <v>13.44</v>
      </c>
      <c r="H250" s="11">
        <v>0</v>
      </c>
      <c r="I250" s="11">
        <v>13.44</v>
      </c>
      <c r="J250" s="7">
        <v>201479</v>
      </c>
    </row>
    <row r="251" spans="2:13" hidden="1" x14ac:dyDescent="0.3">
      <c r="B251" s="6"/>
      <c r="D251" s="21"/>
      <c r="E251" s="117"/>
      <c r="G251" s="12">
        <f>SUM(G243:G250)</f>
        <v>1395.54</v>
      </c>
      <c r="H251" s="12">
        <f>SUM(H243:H250)</f>
        <v>74</v>
      </c>
      <c r="I251" s="12">
        <f>SUM(I243:I250)</f>
        <v>1469.54</v>
      </c>
    </row>
    <row r="252" spans="2:13" hidden="1" x14ac:dyDescent="0.3">
      <c r="B252" s="6">
        <v>43009</v>
      </c>
      <c r="C252" s="1">
        <v>43011</v>
      </c>
      <c r="D252" s="21">
        <v>265</v>
      </c>
      <c r="E252" s="117"/>
      <c r="F252" t="s">
        <v>184</v>
      </c>
      <c r="G252" s="11">
        <v>249.3</v>
      </c>
      <c r="H252" s="11">
        <v>0</v>
      </c>
      <c r="I252" s="11">
        <v>249.3</v>
      </c>
      <c r="J252" s="7">
        <v>201480</v>
      </c>
      <c r="L252" s="1">
        <v>43044</v>
      </c>
      <c r="M252" s="1"/>
    </row>
    <row r="253" spans="2:13" hidden="1" x14ac:dyDescent="0.3">
      <c r="C253" s="1">
        <v>43011</v>
      </c>
      <c r="D253" s="21">
        <v>266</v>
      </c>
      <c r="E253" s="117"/>
      <c r="F253" t="s">
        <v>97</v>
      </c>
      <c r="G253" s="11">
        <v>70</v>
      </c>
      <c r="H253" s="11">
        <v>14</v>
      </c>
      <c r="I253" s="11">
        <v>84</v>
      </c>
      <c r="J253" s="7">
        <v>201481</v>
      </c>
      <c r="L253" s="1">
        <v>43044</v>
      </c>
      <c r="M253" s="1"/>
    </row>
    <row r="254" spans="2:13" hidden="1" x14ac:dyDescent="0.3">
      <c r="C254" s="1">
        <v>43011</v>
      </c>
      <c r="D254" s="21">
        <v>267</v>
      </c>
      <c r="E254" s="117"/>
      <c r="F254" t="s">
        <v>185</v>
      </c>
      <c r="G254" s="11">
        <v>117.6</v>
      </c>
      <c r="H254" s="11">
        <v>0</v>
      </c>
      <c r="I254" s="11">
        <v>117.6</v>
      </c>
      <c r="J254" s="7">
        <v>201482</v>
      </c>
      <c r="L254" s="1">
        <v>43044</v>
      </c>
      <c r="M254" s="1"/>
    </row>
    <row r="255" spans="2:13" hidden="1" x14ac:dyDescent="0.3">
      <c r="C255" s="1">
        <v>43011</v>
      </c>
      <c r="D255" s="21">
        <v>268</v>
      </c>
      <c r="E255" s="117"/>
      <c r="F255" t="s">
        <v>39</v>
      </c>
      <c r="G255" s="11">
        <v>180</v>
      </c>
      <c r="H255" s="11">
        <v>0</v>
      </c>
      <c r="I255" s="11">
        <v>180</v>
      </c>
      <c r="J255" s="7">
        <v>201483</v>
      </c>
      <c r="L255" s="1">
        <v>43044</v>
      </c>
      <c r="M255" s="1"/>
    </row>
    <row r="256" spans="2:13" hidden="1" x14ac:dyDescent="0.3">
      <c r="C256" s="1">
        <v>43011</v>
      </c>
      <c r="D256" s="21">
        <v>269</v>
      </c>
      <c r="E256" s="117"/>
      <c r="F256" t="s">
        <v>159</v>
      </c>
      <c r="G256" s="11">
        <v>608.04999999999995</v>
      </c>
      <c r="H256" s="11">
        <v>0</v>
      </c>
      <c r="I256" s="11">
        <f>SUM(G256:H256)</f>
        <v>608.04999999999995</v>
      </c>
      <c r="J256" s="7">
        <v>201484</v>
      </c>
      <c r="L256" s="1">
        <v>43044</v>
      </c>
      <c r="M256" s="1"/>
    </row>
    <row r="257" spans="2:13" hidden="1" x14ac:dyDescent="0.3">
      <c r="C257" s="1">
        <v>43011</v>
      </c>
      <c r="D257" s="21">
        <v>269</v>
      </c>
      <c r="E257" s="117"/>
      <c r="F257" t="s">
        <v>160</v>
      </c>
      <c r="G257" s="11">
        <v>15.07</v>
      </c>
      <c r="H257" s="11">
        <v>0</v>
      </c>
      <c r="I257" s="11">
        <f>SUM(G257:H257)</f>
        <v>15.07</v>
      </c>
      <c r="J257" s="7">
        <v>201484</v>
      </c>
      <c r="L257" s="1">
        <v>43044</v>
      </c>
      <c r="M257" s="1"/>
    </row>
    <row r="258" spans="2:13" hidden="1" x14ac:dyDescent="0.3">
      <c r="C258" s="1">
        <v>43011</v>
      </c>
      <c r="D258" s="21">
        <v>269</v>
      </c>
      <c r="E258" s="117"/>
      <c r="F258" t="s">
        <v>186</v>
      </c>
      <c r="G258" s="11">
        <v>37.799999999999997</v>
      </c>
      <c r="H258" s="11">
        <v>0</v>
      </c>
      <c r="I258" s="11">
        <f>SUM(G258:H258)</f>
        <v>37.799999999999997</v>
      </c>
      <c r="J258" s="7">
        <v>201484</v>
      </c>
      <c r="L258" s="1">
        <v>43044</v>
      </c>
      <c r="M258" s="1"/>
    </row>
    <row r="259" spans="2:13" hidden="1" x14ac:dyDescent="0.3">
      <c r="C259" s="1">
        <v>43011</v>
      </c>
      <c r="D259" s="21">
        <v>270</v>
      </c>
      <c r="E259" s="117"/>
      <c r="F259" t="s">
        <v>187</v>
      </c>
      <c r="G259" s="11">
        <v>40</v>
      </c>
      <c r="H259" s="11">
        <v>0</v>
      </c>
      <c r="I259" s="11">
        <v>40</v>
      </c>
      <c r="J259" s="7">
        <v>201485</v>
      </c>
      <c r="L259" s="1">
        <v>43044</v>
      </c>
      <c r="M259" s="1"/>
    </row>
    <row r="260" spans="2:13" hidden="1" x14ac:dyDescent="0.3">
      <c r="D260" s="21"/>
      <c r="E260" s="117"/>
      <c r="G260" s="12">
        <f>SUM(G252:G259)</f>
        <v>1317.8199999999997</v>
      </c>
      <c r="H260" s="12">
        <f>SUM(H252:H259)</f>
        <v>14</v>
      </c>
      <c r="I260" s="12">
        <f>SUM(I252:I259)</f>
        <v>1331.8199999999997</v>
      </c>
    </row>
    <row r="261" spans="2:13" hidden="1" x14ac:dyDescent="0.3">
      <c r="B261" s="6">
        <v>43040</v>
      </c>
      <c r="C261" s="1">
        <v>43041</v>
      </c>
      <c r="D261" s="21">
        <v>271</v>
      </c>
      <c r="E261" s="117"/>
      <c r="F261" t="s">
        <v>188</v>
      </c>
      <c r="G261" s="11">
        <v>437.5</v>
      </c>
      <c r="H261" s="11">
        <v>0</v>
      </c>
      <c r="I261" s="11">
        <f t="shared" ref="I261:I280" si="12">SUM(G261:H261)</f>
        <v>437.5</v>
      </c>
      <c r="J261" s="7">
        <v>201486</v>
      </c>
      <c r="L261" s="1"/>
      <c r="M261" s="1"/>
    </row>
    <row r="262" spans="2:13" hidden="1" x14ac:dyDescent="0.3">
      <c r="C262" s="1">
        <v>43041</v>
      </c>
      <c r="D262" s="21">
        <v>272</v>
      </c>
      <c r="E262" s="117"/>
      <c r="F262" t="s">
        <v>154</v>
      </c>
      <c r="G262" s="11">
        <v>185</v>
      </c>
      <c r="H262" s="11">
        <v>37</v>
      </c>
      <c r="I262" s="11">
        <f t="shared" si="12"/>
        <v>222</v>
      </c>
      <c r="J262" s="7">
        <v>201487</v>
      </c>
    </row>
    <row r="263" spans="2:13" hidden="1" x14ac:dyDescent="0.3">
      <c r="C263" s="1">
        <v>43041</v>
      </c>
      <c r="D263" s="21">
        <v>273</v>
      </c>
      <c r="E263" s="117"/>
      <c r="F263" t="s">
        <v>39</v>
      </c>
      <c r="G263" s="11">
        <v>180</v>
      </c>
      <c r="H263" s="11">
        <v>0</v>
      </c>
      <c r="I263" s="11">
        <f t="shared" si="12"/>
        <v>180</v>
      </c>
      <c r="J263" s="7">
        <v>201488</v>
      </c>
    </row>
    <row r="264" spans="2:13" hidden="1" x14ac:dyDescent="0.3">
      <c r="C264" s="1">
        <v>43041</v>
      </c>
      <c r="D264" s="21">
        <v>274</v>
      </c>
      <c r="E264" s="117"/>
      <c r="F264" t="s">
        <v>97</v>
      </c>
      <c r="G264" s="11">
        <v>72.7</v>
      </c>
      <c r="H264" s="11">
        <v>14.54</v>
      </c>
      <c r="I264" s="11">
        <f t="shared" si="12"/>
        <v>87.240000000000009</v>
      </c>
      <c r="J264" s="7">
        <v>201489</v>
      </c>
    </row>
    <row r="265" spans="2:13" hidden="1" x14ac:dyDescent="0.3">
      <c r="C265" s="1">
        <v>43041</v>
      </c>
      <c r="D265" s="21">
        <v>275</v>
      </c>
      <c r="E265" s="117"/>
      <c r="F265" t="s">
        <v>124</v>
      </c>
      <c r="G265" s="11">
        <v>50</v>
      </c>
      <c r="H265" s="11">
        <v>0</v>
      </c>
      <c r="I265" s="11">
        <f t="shared" si="12"/>
        <v>50</v>
      </c>
      <c r="J265" s="7">
        <v>201490</v>
      </c>
    </row>
    <row r="266" spans="2:13" hidden="1" x14ac:dyDescent="0.3">
      <c r="C266" s="1">
        <v>43041</v>
      </c>
      <c r="D266" s="21">
        <v>276</v>
      </c>
      <c r="E266" s="117"/>
      <c r="F266" t="s">
        <v>159</v>
      </c>
      <c r="G266" s="11">
        <v>608.04999999999995</v>
      </c>
      <c r="H266" s="11">
        <v>0</v>
      </c>
      <c r="I266" s="11">
        <f t="shared" si="12"/>
        <v>608.04999999999995</v>
      </c>
      <c r="J266" s="7">
        <v>201491</v>
      </c>
    </row>
    <row r="267" spans="2:13" hidden="1" x14ac:dyDescent="0.3">
      <c r="C267" s="1">
        <v>43041</v>
      </c>
      <c r="D267" s="21">
        <v>276</v>
      </c>
      <c r="E267" s="117"/>
      <c r="F267" t="s">
        <v>160</v>
      </c>
      <c r="G267" s="11">
        <v>15.07</v>
      </c>
      <c r="H267" s="11">
        <v>0</v>
      </c>
      <c r="I267" s="11">
        <f t="shared" si="12"/>
        <v>15.07</v>
      </c>
      <c r="J267" s="7">
        <v>201491</v>
      </c>
    </row>
    <row r="268" spans="2:13" hidden="1" x14ac:dyDescent="0.3">
      <c r="C268" s="1">
        <v>43041</v>
      </c>
      <c r="D268" s="21">
        <v>277</v>
      </c>
      <c r="E268" s="117"/>
      <c r="F268" t="s">
        <v>39</v>
      </c>
      <c r="G268" s="11">
        <v>649.5</v>
      </c>
      <c r="H268" s="11">
        <v>0</v>
      </c>
      <c r="I268" s="11">
        <f t="shared" si="12"/>
        <v>649.5</v>
      </c>
      <c r="J268" s="7">
        <v>201492</v>
      </c>
    </row>
    <row r="269" spans="2:13" hidden="1" x14ac:dyDescent="0.3">
      <c r="C269" s="1">
        <v>43041</v>
      </c>
      <c r="D269" s="21">
        <v>278</v>
      </c>
      <c r="E269" s="117"/>
      <c r="F269" t="s">
        <v>130</v>
      </c>
      <c r="G269" s="11">
        <v>35</v>
      </c>
      <c r="H269" s="11">
        <v>0</v>
      </c>
      <c r="I269" s="11">
        <f t="shared" si="12"/>
        <v>35</v>
      </c>
      <c r="J269" s="7" t="s">
        <v>26</v>
      </c>
    </row>
    <row r="270" spans="2:13" hidden="1" x14ac:dyDescent="0.3">
      <c r="C270" s="1">
        <v>43041</v>
      </c>
      <c r="D270" s="21">
        <v>279</v>
      </c>
      <c r="E270" s="117"/>
      <c r="F270" t="s">
        <v>82</v>
      </c>
      <c r="G270" s="11">
        <v>148.61000000000001</v>
      </c>
      <c r="H270" s="11">
        <v>7.43</v>
      </c>
      <c r="I270" s="11">
        <f t="shared" si="12"/>
        <v>156.04000000000002</v>
      </c>
      <c r="J270" s="7">
        <v>201493</v>
      </c>
    </row>
    <row r="271" spans="2:13" hidden="1" x14ac:dyDescent="0.3">
      <c r="C271" s="1">
        <v>43046</v>
      </c>
      <c r="D271" s="21">
        <v>280</v>
      </c>
      <c r="E271" s="117"/>
      <c r="F271" t="s">
        <v>189</v>
      </c>
      <c r="G271" s="11">
        <v>30</v>
      </c>
      <c r="H271" s="11">
        <v>6</v>
      </c>
      <c r="I271" s="11">
        <f t="shared" si="12"/>
        <v>36</v>
      </c>
      <c r="J271" s="7">
        <v>201494</v>
      </c>
    </row>
    <row r="272" spans="2:13" hidden="1" x14ac:dyDescent="0.3">
      <c r="C272" s="1">
        <v>43046</v>
      </c>
      <c r="D272" s="21">
        <v>281</v>
      </c>
      <c r="E272" s="117"/>
      <c r="F272" t="s">
        <v>190</v>
      </c>
      <c r="G272" s="11">
        <v>20.48</v>
      </c>
      <c r="H272" s="11">
        <v>2.09</v>
      </c>
      <c r="I272" s="11">
        <f t="shared" si="12"/>
        <v>22.57</v>
      </c>
      <c r="J272" s="7">
        <v>201495</v>
      </c>
    </row>
    <row r="273" spans="2:12" hidden="1" x14ac:dyDescent="0.3">
      <c r="C273" s="1">
        <v>43046</v>
      </c>
      <c r="D273" s="21">
        <v>282</v>
      </c>
      <c r="E273" s="117"/>
      <c r="F273" t="s">
        <v>115</v>
      </c>
      <c r="G273" s="11">
        <v>185</v>
      </c>
      <c r="H273" s="11">
        <v>37</v>
      </c>
      <c r="I273" s="11">
        <f t="shared" si="12"/>
        <v>222</v>
      </c>
      <c r="J273" s="7">
        <v>201496</v>
      </c>
    </row>
    <row r="274" spans="2:12" hidden="1" x14ac:dyDescent="0.3">
      <c r="C274" s="1">
        <v>43046</v>
      </c>
      <c r="D274" s="21">
        <v>283</v>
      </c>
      <c r="E274" s="117"/>
      <c r="F274" t="s">
        <v>191</v>
      </c>
      <c r="G274" s="11">
        <v>510</v>
      </c>
      <c r="H274" s="11">
        <v>102</v>
      </c>
      <c r="I274" s="11">
        <f t="shared" si="12"/>
        <v>612</v>
      </c>
      <c r="J274" s="7">
        <v>201497</v>
      </c>
    </row>
    <row r="275" spans="2:12" hidden="1" x14ac:dyDescent="0.3">
      <c r="C275" s="1">
        <v>43046</v>
      </c>
      <c r="D275" s="21">
        <v>284</v>
      </c>
      <c r="E275" s="117"/>
      <c r="F275" t="s">
        <v>31</v>
      </c>
      <c r="G275" s="11">
        <v>90</v>
      </c>
      <c r="H275" s="11">
        <v>0</v>
      </c>
      <c r="I275" s="11">
        <f t="shared" si="12"/>
        <v>90</v>
      </c>
      <c r="J275" s="7">
        <v>201498</v>
      </c>
    </row>
    <row r="276" spans="2:12" hidden="1" x14ac:dyDescent="0.3">
      <c r="C276" s="1">
        <v>43046</v>
      </c>
      <c r="D276" s="21">
        <v>285</v>
      </c>
      <c r="E276" s="117"/>
      <c r="F276" t="s">
        <v>192</v>
      </c>
      <c r="G276" s="11">
        <v>205.25</v>
      </c>
      <c r="H276" s="11">
        <v>41.05</v>
      </c>
      <c r="I276" s="11">
        <f t="shared" si="12"/>
        <v>246.3</v>
      </c>
      <c r="J276" s="7">
        <v>201499</v>
      </c>
    </row>
    <row r="277" spans="2:12" hidden="1" x14ac:dyDescent="0.3">
      <c r="C277" s="1">
        <v>43046</v>
      </c>
      <c r="D277" s="21">
        <v>286</v>
      </c>
      <c r="E277" s="117"/>
      <c r="F277" t="s">
        <v>193</v>
      </c>
      <c r="G277" s="11">
        <v>101.48</v>
      </c>
      <c r="H277" s="11">
        <v>25.36</v>
      </c>
      <c r="I277" s="11">
        <f t="shared" si="12"/>
        <v>126.84</v>
      </c>
      <c r="J277" s="7">
        <v>201500</v>
      </c>
    </row>
    <row r="278" spans="2:12" hidden="1" x14ac:dyDescent="0.3">
      <c r="C278" s="1">
        <v>43052</v>
      </c>
      <c r="D278" s="21">
        <v>287</v>
      </c>
      <c r="E278" s="117"/>
      <c r="F278" t="s">
        <v>137</v>
      </c>
      <c r="G278" s="11">
        <v>42.1</v>
      </c>
      <c r="H278" s="11">
        <v>0</v>
      </c>
      <c r="I278" s="11">
        <f t="shared" si="12"/>
        <v>42.1</v>
      </c>
      <c r="J278" s="7">
        <v>201601</v>
      </c>
    </row>
    <row r="279" spans="2:12" hidden="1" x14ac:dyDescent="0.3">
      <c r="C279" s="1">
        <v>43052</v>
      </c>
      <c r="D279" s="21">
        <v>288</v>
      </c>
      <c r="E279" s="117"/>
      <c r="F279" t="s">
        <v>194</v>
      </c>
      <c r="G279" s="11">
        <v>50</v>
      </c>
      <c r="H279" s="11">
        <v>0</v>
      </c>
      <c r="I279" s="11">
        <f t="shared" si="12"/>
        <v>50</v>
      </c>
      <c r="J279" s="7">
        <v>201602</v>
      </c>
    </row>
    <row r="280" spans="2:12" hidden="1" x14ac:dyDescent="0.3">
      <c r="C280" s="1">
        <v>43052</v>
      </c>
      <c r="D280" s="21">
        <v>289</v>
      </c>
      <c r="E280" s="117"/>
      <c r="F280" t="s">
        <v>195</v>
      </c>
      <c r="G280" s="11">
        <v>200.4</v>
      </c>
      <c r="H280" s="11">
        <v>40.08</v>
      </c>
      <c r="I280" s="11">
        <f t="shared" si="12"/>
        <v>240.48000000000002</v>
      </c>
      <c r="J280" s="7">
        <v>201603</v>
      </c>
    </row>
    <row r="281" spans="2:12" hidden="1" x14ac:dyDescent="0.3">
      <c r="C281" s="1">
        <v>43061</v>
      </c>
      <c r="D281" s="21">
        <v>290</v>
      </c>
      <c r="E281" s="117"/>
      <c r="F281" t="s">
        <v>196</v>
      </c>
      <c r="G281" s="11">
        <v>850.05</v>
      </c>
      <c r="H281" s="11">
        <v>0</v>
      </c>
      <c r="I281" s="11">
        <v>850.05</v>
      </c>
      <c r="J281" s="18">
        <v>201604</v>
      </c>
      <c r="K281" s="9"/>
    </row>
    <row r="282" spans="2:12" hidden="1" x14ac:dyDescent="0.3">
      <c r="C282" s="1">
        <v>43061</v>
      </c>
      <c r="D282" s="21">
        <v>290</v>
      </c>
      <c r="E282" s="117"/>
      <c r="F282" t="s">
        <v>196</v>
      </c>
      <c r="G282" s="11">
        <v>200.61</v>
      </c>
      <c r="H282" s="11">
        <v>0</v>
      </c>
      <c r="I282" s="11">
        <v>200.61</v>
      </c>
      <c r="J282" s="18">
        <v>201604</v>
      </c>
      <c r="K282" s="9"/>
      <c r="L282" t="s">
        <v>198</v>
      </c>
    </row>
    <row r="283" spans="2:12" hidden="1" x14ac:dyDescent="0.3">
      <c r="D283" s="21"/>
      <c r="E283" s="117"/>
      <c r="G283" s="12">
        <f>SUM(G261:G282)</f>
        <v>4866.7999999999993</v>
      </c>
      <c r="H283" s="12">
        <f>SUM(H261:H282)</f>
        <v>312.55</v>
      </c>
      <c r="I283" s="12">
        <f>SUM(I261:I282)</f>
        <v>5179.3500000000004</v>
      </c>
    </row>
    <row r="284" spans="2:12" hidden="1" x14ac:dyDescent="0.3">
      <c r="B284" s="6">
        <v>43070</v>
      </c>
      <c r="C284" s="1">
        <v>43073</v>
      </c>
      <c r="D284" s="21">
        <v>291</v>
      </c>
      <c r="E284" s="117"/>
      <c r="F284" t="s">
        <v>159</v>
      </c>
      <c r="G284" s="11">
        <v>373.96</v>
      </c>
      <c r="H284" s="11">
        <v>0</v>
      </c>
      <c r="I284" s="11">
        <f t="shared" ref="I284:I292" si="13">SUM(G284:H284)</f>
        <v>373.96</v>
      </c>
      <c r="J284" s="7">
        <v>201605</v>
      </c>
    </row>
    <row r="285" spans="2:12" hidden="1" x14ac:dyDescent="0.3">
      <c r="C285" s="1">
        <v>43073</v>
      </c>
      <c r="D285" s="21">
        <v>291</v>
      </c>
      <c r="E285" s="117"/>
      <c r="F285" t="s">
        <v>160</v>
      </c>
      <c r="G285" s="11">
        <v>15.07</v>
      </c>
      <c r="H285" s="11">
        <v>0</v>
      </c>
      <c r="I285" s="11">
        <f t="shared" si="13"/>
        <v>15.07</v>
      </c>
      <c r="J285" s="7">
        <v>201605</v>
      </c>
    </row>
    <row r="286" spans="2:12" hidden="1" x14ac:dyDescent="0.3">
      <c r="C286" s="1">
        <v>43073</v>
      </c>
      <c r="D286" s="21">
        <v>292</v>
      </c>
      <c r="E286" s="117"/>
      <c r="F286" t="s">
        <v>128</v>
      </c>
      <c r="G286" s="11">
        <v>13.44</v>
      </c>
      <c r="H286" s="11">
        <v>0</v>
      </c>
      <c r="I286" s="11">
        <f t="shared" si="13"/>
        <v>13.44</v>
      </c>
      <c r="J286" s="7">
        <v>201606</v>
      </c>
    </row>
    <row r="287" spans="2:12" hidden="1" x14ac:dyDescent="0.3">
      <c r="C287" s="1">
        <v>43073</v>
      </c>
      <c r="D287" s="21">
        <v>293</v>
      </c>
      <c r="E287" s="117"/>
      <c r="F287" t="s">
        <v>39</v>
      </c>
      <c r="G287" s="11">
        <v>500</v>
      </c>
      <c r="H287" s="11">
        <v>0</v>
      </c>
      <c r="I287" s="11">
        <f t="shared" si="13"/>
        <v>500</v>
      </c>
      <c r="J287" s="7">
        <v>201607</v>
      </c>
    </row>
    <row r="288" spans="2:12" hidden="1" x14ac:dyDescent="0.3">
      <c r="C288" s="1">
        <v>43073</v>
      </c>
      <c r="D288" s="21">
        <v>294</v>
      </c>
      <c r="E288" s="117"/>
      <c r="F288" t="s">
        <v>197</v>
      </c>
      <c r="G288" s="11">
        <v>175.11</v>
      </c>
      <c r="H288" s="11">
        <v>0</v>
      </c>
      <c r="I288" s="11">
        <f t="shared" si="13"/>
        <v>175.11</v>
      </c>
      <c r="J288" s="7">
        <v>201608</v>
      </c>
    </row>
    <row r="289" spans="3:10" hidden="1" x14ac:dyDescent="0.3">
      <c r="C289" s="1">
        <v>43073</v>
      </c>
      <c r="D289" s="21">
        <v>295</v>
      </c>
      <c r="E289" s="117"/>
      <c r="F289" t="s">
        <v>195</v>
      </c>
      <c r="G289" s="11">
        <v>123.57</v>
      </c>
      <c r="H289" s="11">
        <v>24.71</v>
      </c>
      <c r="I289" s="11">
        <f t="shared" si="13"/>
        <v>148.28</v>
      </c>
      <c r="J289" s="7">
        <v>201609</v>
      </c>
    </row>
    <row r="290" spans="3:10" hidden="1" x14ac:dyDescent="0.3">
      <c r="C290" s="1">
        <v>43073</v>
      </c>
      <c r="D290" s="21">
        <v>296</v>
      </c>
      <c r="E290" s="117"/>
      <c r="F290" t="s">
        <v>199</v>
      </c>
      <c r="G290" s="11">
        <v>673.09</v>
      </c>
      <c r="H290" s="11">
        <v>0</v>
      </c>
      <c r="I290" s="11">
        <f t="shared" si="13"/>
        <v>673.09</v>
      </c>
      <c r="J290" s="7">
        <v>201610</v>
      </c>
    </row>
    <row r="291" spans="3:10" hidden="1" x14ac:dyDescent="0.3">
      <c r="C291" s="1">
        <v>43073</v>
      </c>
      <c r="D291" s="21">
        <v>297</v>
      </c>
      <c r="E291" s="117"/>
      <c r="F291" t="s">
        <v>200</v>
      </c>
      <c r="G291" s="11">
        <v>63.74</v>
      </c>
      <c r="H291" s="11">
        <v>12.75</v>
      </c>
      <c r="I291" s="11">
        <f t="shared" si="13"/>
        <v>76.490000000000009</v>
      </c>
      <c r="J291" s="7">
        <v>201610</v>
      </c>
    </row>
    <row r="292" spans="3:10" hidden="1" x14ac:dyDescent="0.3">
      <c r="C292" s="1">
        <v>43100</v>
      </c>
      <c r="D292" s="21">
        <v>306</v>
      </c>
      <c r="E292" s="117"/>
      <c r="F292" t="s">
        <v>201</v>
      </c>
      <c r="G292" s="11">
        <v>8</v>
      </c>
      <c r="H292" s="11">
        <v>0</v>
      </c>
      <c r="I292" s="11">
        <f t="shared" si="13"/>
        <v>8</v>
      </c>
      <c r="J292" s="7" t="s">
        <v>26</v>
      </c>
    </row>
    <row r="293" spans="3:10" hidden="1" x14ac:dyDescent="0.3">
      <c r="C293" s="1"/>
      <c r="D293" s="21"/>
      <c r="E293" s="117"/>
      <c r="F293" t="s">
        <v>219</v>
      </c>
      <c r="G293" s="11">
        <v>1578</v>
      </c>
      <c r="I293" s="11">
        <v>1578</v>
      </c>
      <c r="J293" s="7" t="s">
        <v>203</v>
      </c>
    </row>
    <row r="294" spans="3:10" hidden="1" x14ac:dyDescent="0.3">
      <c r="D294" s="21"/>
      <c r="E294" s="117"/>
      <c r="G294" s="12">
        <f>SUM(G284:G293)</f>
        <v>3523.9799999999996</v>
      </c>
      <c r="H294" s="12">
        <f>SUM(H284:H293)</f>
        <v>37.46</v>
      </c>
      <c r="I294" s="12">
        <f>SUM(I284:I293)</f>
        <v>3561.4399999999996</v>
      </c>
    </row>
    <row r="295" spans="3:10" hidden="1" x14ac:dyDescent="0.3">
      <c r="C295" s="1">
        <v>43102</v>
      </c>
      <c r="D295" s="21">
        <v>298</v>
      </c>
      <c r="E295" s="117"/>
      <c r="F295" t="s">
        <v>31</v>
      </c>
      <c r="G295" s="11">
        <v>75</v>
      </c>
      <c r="H295" s="11">
        <v>0</v>
      </c>
      <c r="I295" s="11">
        <v>75</v>
      </c>
      <c r="J295" s="7">
        <v>201612</v>
      </c>
    </row>
    <row r="296" spans="3:10" hidden="1" x14ac:dyDescent="0.3">
      <c r="C296" s="1">
        <v>43102</v>
      </c>
      <c r="D296" s="21">
        <v>299</v>
      </c>
      <c r="E296" s="117"/>
      <c r="F296" t="s">
        <v>173</v>
      </c>
      <c r="G296" s="11">
        <v>33.979999999999997</v>
      </c>
      <c r="H296" s="11">
        <v>0</v>
      </c>
      <c r="I296" s="11">
        <v>33.979999999999997</v>
      </c>
      <c r="J296" s="7">
        <v>201613</v>
      </c>
    </row>
    <row r="297" spans="3:10" hidden="1" x14ac:dyDescent="0.3">
      <c r="C297" s="1">
        <v>43102</v>
      </c>
      <c r="D297" s="21">
        <v>300</v>
      </c>
      <c r="E297" s="117"/>
      <c r="F297" t="s">
        <v>204</v>
      </c>
      <c r="G297" s="11">
        <v>78</v>
      </c>
      <c r="H297" s="11">
        <v>15.6</v>
      </c>
      <c r="I297" s="11">
        <f t="shared" ref="I297:I305" si="14">SUM(G297:H297)</f>
        <v>93.6</v>
      </c>
      <c r="J297" s="7">
        <v>201614</v>
      </c>
    </row>
    <row r="298" spans="3:10" hidden="1" x14ac:dyDescent="0.3">
      <c r="C298" s="1">
        <v>43102</v>
      </c>
      <c r="D298" s="21">
        <v>301</v>
      </c>
      <c r="E298" s="117"/>
      <c r="F298" t="s">
        <v>205</v>
      </c>
      <c r="G298" s="11">
        <v>138.49</v>
      </c>
      <c r="H298" s="11">
        <v>0</v>
      </c>
      <c r="I298" s="11">
        <f t="shared" si="14"/>
        <v>138.49</v>
      </c>
      <c r="J298" s="7">
        <v>201615</v>
      </c>
    </row>
    <row r="299" spans="3:10" hidden="1" x14ac:dyDescent="0.3">
      <c r="C299" s="1">
        <v>43102</v>
      </c>
      <c r="D299" s="21">
        <v>302</v>
      </c>
      <c r="E299" s="117"/>
      <c r="F299" t="s">
        <v>205</v>
      </c>
      <c r="G299" s="11">
        <v>138.49</v>
      </c>
      <c r="H299" s="11">
        <v>0</v>
      </c>
      <c r="I299" s="11">
        <f t="shared" si="14"/>
        <v>138.49</v>
      </c>
      <c r="J299" s="7">
        <v>201616</v>
      </c>
    </row>
    <row r="300" spans="3:10" hidden="1" x14ac:dyDescent="0.3">
      <c r="C300" s="1">
        <v>43102</v>
      </c>
      <c r="D300" s="21">
        <v>303</v>
      </c>
      <c r="E300" s="117"/>
      <c r="F300" t="s">
        <v>98</v>
      </c>
      <c r="G300" s="11">
        <v>72.61</v>
      </c>
      <c r="H300" s="11">
        <v>0</v>
      </c>
      <c r="I300" s="11">
        <f t="shared" si="14"/>
        <v>72.61</v>
      </c>
      <c r="J300" s="7">
        <v>201617</v>
      </c>
    </row>
    <row r="301" spans="3:10" hidden="1" x14ac:dyDescent="0.3">
      <c r="C301" s="1">
        <v>43102</v>
      </c>
      <c r="D301" s="21">
        <v>304</v>
      </c>
      <c r="E301" s="117"/>
      <c r="F301" t="s">
        <v>159</v>
      </c>
      <c r="G301" s="11">
        <v>574.61</v>
      </c>
      <c r="H301" s="11">
        <v>0</v>
      </c>
      <c r="I301" s="11">
        <f t="shared" si="14"/>
        <v>574.61</v>
      </c>
      <c r="J301" s="7">
        <v>201618</v>
      </c>
    </row>
    <row r="302" spans="3:10" hidden="1" x14ac:dyDescent="0.3">
      <c r="C302" s="1">
        <v>43102</v>
      </c>
      <c r="D302" s="21">
        <v>304</v>
      </c>
      <c r="E302" s="117"/>
      <c r="F302" t="s">
        <v>160</v>
      </c>
      <c r="G302" s="11">
        <v>15.07</v>
      </c>
      <c r="H302" s="11">
        <v>0</v>
      </c>
      <c r="I302" s="11">
        <f t="shared" si="14"/>
        <v>15.07</v>
      </c>
      <c r="J302" s="7">
        <v>201618</v>
      </c>
    </row>
    <row r="303" spans="3:10" hidden="1" x14ac:dyDescent="0.3">
      <c r="C303" s="1">
        <v>43102</v>
      </c>
      <c r="D303" s="21">
        <v>305</v>
      </c>
      <c r="E303" s="117"/>
      <c r="F303" t="s">
        <v>206</v>
      </c>
      <c r="G303" s="11">
        <v>175.11</v>
      </c>
      <c r="H303" s="11">
        <v>0</v>
      </c>
      <c r="I303" s="11">
        <f t="shared" si="14"/>
        <v>175.11</v>
      </c>
      <c r="J303" s="7">
        <v>201619</v>
      </c>
    </row>
    <row r="304" spans="3:10" hidden="1" x14ac:dyDescent="0.3">
      <c r="C304" s="1">
        <v>43109</v>
      </c>
      <c r="D304" s="21">
        <v>307</v>
      </c>
      <c r="E304" s="117"/>
      <c r="F304" t="s">
        <v>137</v>
      </c>
      <c r="G304" s="11">
        <v>195.8</v>
      </c>
      <c r="H304" s="11">
        <v>0</v>
      </c>
      <c r="I304" s="11">
        <f t="shared" si="14"/>
        <v>195.8</v>
      </c>
      <c r="J304" s="7">
        <v>201620</v>
      </c>
    </row>
    <row r="305" spans="3:10" hidden="1" x14ac:dyDescent="0.3">
      <c r="C305" s="1">
        <v>43109</v>
      </c>
      <c r="D305" s="21">
        <v>308</v>
      </c>
      <c r="E305" s="117"/>
      <c r="F305" t="s">
        <v>205</v>
      </c>
      <c r="G305" s="11">
        <v>13.84</v>
      </c>
      <c r="H305" s="11">
        <v>0</v>
      </c>
      <c r="I305" s="11">
        <f t="shared" si="14"/>
        <v>13.84</v>
      </c>
      <c r="J305" s="7">
        <v>201621</v>
      </c>
    </row>
    <row r="306" spans="3:10" hidden="1" x14ac:dyDescent="0.3">
      <c r="D306" s="21"/>
      <c r="E306" s="117"/>
      <c r="F306" t="s">
        <v>219</v>
      </c>
      <c r="G306" s="11">
        <v>789</v>
      </c>
      <c r="H306" s="11">
        <v>0</v>
      </c>
      <c r="I306" s="11">
        <v>789</v>
      </c>
      <c r="J306" s="7" t="s">
        <v>207</v>
      </c>
    </row>
    <row r="307" spans="3:10" hidden="1" x14ac:dyDescent="0.3">
      <c r="C307" s="1">
        <v>43103</v>
      </c>
      <c r="D307" s="21">
        <v>317</v>
      </c>
      <c r="E307" s="117"/>
      <c r="F307" t="s">
        <v>201</v>
      </c>
      <c r="G307" s="11">
        <v>4</v>
      </c>
      <c r="H307" s="11">
        <v>0</v>
      </c>
      <c r="I307" s="11">
        <v>4</v>
      </c>
      <c r="J307" s="7" t="s">
        <v>26</v>
      </c>
    </row>
    <row r="308" spans="3:10" hidden="1" x14ac:dyDescent="0.3">
      <c r="D308" s="21"/>
      <c r="E308" s="117"/>
      <c r="G308" s="12">
        <f>SUM(G295:G307)</f>
        <v>2304</v>
      </c>
      <c r="H308" s="12">
        <f>SUM(H295:H307)</f>
        <v>15.6</v>
      </c>
      <c r="I308" s="12">
        <f>SUM(I295:I307)</f>
        <v>2319.6</v>
      </c>
    </row>
    <row r="309" spans="3:10" hidden="1" x14ac:dyDescent="0.3">
      <c r="C309" s="1">
        <v>43132</v>
      </c>
      <c r="D309" s="21">
        <v>309</v>
      </c>
      <c r="E309" s="117"/>
      <c r="F309" t="s">
        <v>208</v>
      </c>
      <c r="G309" s="11">
        <v>50</v>
      </c>
      <c r="H309" s="11">
        <v>0</v>
      </c>
      <c r="I309" s="11">
        <f t="shared" ref="I309:I327" si="15">SUM(G309:H309)</f>
        <v>50</v>
      </c>
      <c r="J309" s="7">
        <v>201623</v>
      </c>
    </row>
    <row r="310" spans="3:10" hidden="1" x14ac:dyDescent="0.3">
      <c r="C310" s="1">
        <v>43132</v>
      </c>
      <c r="D310" s="21">
        <v>310</v>
      </c>
      <c r="E310" s="117"/>
      <c r="F310" t="s">
        <v>209</v>
      </c>
      <c r="G310" s="11">
        <v>71.8</v>
      </c>
      <c r="H310" s="11">
        <v>14.36</v>
      </c>
      <c r="I310" s="11">
        <f t="shared" si="15"/>
        <v>86.16</v>
      </c>
      <c r="J310" s="7">
        <v>201624</v>
      </c>
    </row>
    <row r="311" spans="3:10" hidden="1" x14ac:dyDescent="0.3">
      <c r="C311" s="1">
        <v>43132</v>
      </c>
      <c r="D311" s="21">
        <v>311</v>
      </c>
      <c r="E311" s="117"/>
      <c r="F311" t="s">
        <v>145</v>
      </c>
      <c r="G311" s="11">
        <v>40</v>
      </c>
      <c r="H311" s="11">
        <v>0</v>
      </c>
      <c r="I311" s="11">
        <f t="shared" si="15"/>
        <v>40</v>
      </c>
      <c r="J311" s="7">
        <v>201625</v>
      </c>
    </row>
    <row r="312" spans="3:10" hidden="1" x14ac:dyDescent="0.3">
      <c r="C312" s="1">
        <v>43132</v>
      </c>
      <c r="D312" s="21">
        <v>312</v>
      </c>
      <c r="E312" s="117"/>
      <c r="F312" t="s">
        <v>210</v>
      </c>
      <c r="G312" s="11">
        <v>185</v>
      </c>
      <c r="H312" s="11">
        <v>37</v>
      </c>
      <c r="I312" s="11">
        <f t="shared" si="15"/>
        <v>222</v>
      </c>
      <c r="J312" s="7">
        <v>201626</v>
      </c>
    </row>
    <row r="313" spans="3:10" hidden="1" x14ac:dyDescent="0.3">
      <c r="C313" s="1">
        <v>43132</v>
      </c>
      <c r="D313" s="21">
        <v>313</v>
      </c>
      <c r="E313" s="117"/>
      <c r="F313" t="s">
        <v>211</v>
      </c>
      <c r="G313" s="11">
        <v>185</v>
      </c>
      <c r="H313" s="11">
        <v>37</v>
      </c>
      <c r="I313" s="11">
        <f t="shared" si="15"/>
        <v>222</v>
      </c>
      <c r="J313" s="7">
        <v>201627</v>
      </c>
    </row>
    <row r="314" spans="3:10" hidden="1" x14ac:dyDescent="0.3">
      <c r="C314" s="1">
        <v>43132</v>
      </c>
      <c r="D314" s="21">
        <v>314</v>
      </c>
      <c r="E314" s="117"/>
      <c r="F314" t="s">
        <v>209</v>
      </c>
      <c r="G314" s="11">
        <v>74.8</v>
      </c>
      <c r="H314" s="11">
        <v>14.96</v>
      </c>
      <c r="I314" s="11">
        <f t="shared" si="15"/>
        <v>89.759999999999991</v>
      </c>
      <c r="J314" s="7">
        <v>201628</v>
      </c>
    </row>
    <row r="315" spans="3:10" hidden="1" x14ac:dyDescent="0.3">
      <c r="C315" s="1">
        <v>43132</v>
      </c>
      <c r="D315" s="21">
        <v>315</v>
      </c>
      <c r="E315" s="117"/>
      <c r="F315" t="s">
        <v>212</v>
      </c>
      <c r="G315" s="11">
        <v>574.61</v>
      </c>
      <c r="H315" s="11">
        <v>0</v>
      </c>
      <c r="I315" s="11">
        <f t="shared" si="15"/>
        <v>574.61</v>
      </c>
      <c r="J315" s="7">
        <v>201629</v>
      </c>
    </row>
    <row r="316" spans="3:10" hidden="1" x14ac:dyDescent="0.3">
      <c r="C316" s="1">
        <v>43132</v>
      </c>
      <c r="D316" s="21">
        <v>315</v>
      </c>
      <c r="E316" s="117"/>
      <c r="F316" t="s">
        <v>213</v>
      </c>
      <c r="G316" s="11">
        <v>15.07</v>
      </c>
      <c r="H316" s="11">
        <v>0</v>
      </c>
      <c r="I316" s="11">
        <f t="shared" si="15"/>
        <v>15.07</v>
      </c>
      <c r="J316" s="7">
        <v>201629</v>
      </c>
    </row>
    <row r="317" spans="3:10" hidden="1" x14ac:dyDescent="0.3">
      <c r="C317" s="1">
        <v>43132</v>
      </c>
      <c r="D317" s="21">
        <v>316</v>
      </c>
      <c r="E317" s="117"/>
      <c r="F317" t="s">
        <v>206</v>
      </c>
      <c r="G317" s="11">
        <v>175.11</v>
      </c>
      <c r="H317" s="11">
        <v>0</v>
      </c>
      <c r="I317" s="11">
        <f t="shared" si="15"/>
        <v>175.11</v>
      </c>
      <c r="J317" s="7">
        <v>201630</v>
      </c>
    </row>
    <row r="318" spans="3:10" hidden="1" x14ac:dyDescent="0.3">
      <c r="C318" s="1">
        <v>43132</v>
      </c>
      <c r="D318" s="21">
        <v>318</v>
      </c>
      <c r="E318" s="117"/>
      <c r="F318" t="s">
        <v>214</v>
      </c>
      <c r="G318" s="11">
        <v>320.83</v>
      </c>
      <c r="H318" s="11">
        <v>16.04</v>
      </c>
      <c r="I318" s="11">
        <f t="shared" si="15"/>
        <v>336.87</v>
      </c>
      <c r="J318" s="7">
        <v>201631</v>
      </c>
    </row>
    <row r="319" spans="3:10" hidden="1" x14ac:dyDescent="0.3">
      <c r="D319" s="21"/>
      <c r="E319" s="117"/>
      <c r="G319" s="12">
        <f>SUM(G309:G318)</f>
        <v>1692.2199999999998</v>
      </c>
      <c r="H319" s="12">
        <f>SUM(H309:H318)</f>
        <v>119.35999999999999</v>
      </c>
      <c r="I319" s="12">
        <f t="shared" si="15"/>
        <v>1811.5799999999997</v>
      </c>
    </row>
    <row r="320" spans="3:10" hidden="1" x14ac:dyDescent="0.3">
      <c r="C320" s="1">
        <v>43160</v>
      </c>
      <c r="D320" s="21">
        <v>319</v>
      </c>
      <c r="E320" s="117"/>
      <c r="F320" t="s">
        <v>215</v>
      </c>
      <c r="G320" s="11">
        <v>185</v>
      </c>
      <c r="H320" s="11">
        <v>37</v>
      </c>
      <c r="I320" s="11">
        <f t="shared" si="15"/>
        <v>222</v>
      </c>
      <c r="J320" s="7">
        <v>201632</v>
      </c>
    </row>
    <row r="321" spans="2:16" hidden="1" x14ac:dyDescent="0.3">
      <c r="C321" s="1">
        <v>43160</v>
      </c>
      <c r="D321" s="21">
        <v>320</v>
      </c>
      <c r="E321" s="117"/>
      <c r="F321" t="s">
        <v>212</v>
      </c>
      <c r="G321" s="11">
        <v>574.61</v>
      </c>
      <c r="H321" s="11">
        <v>0</v>
      </c>
      <c r="I321" s="11">
        <f t="shared" si="15"/>
        <v>574.61</v>
      </c>
      <c r="J321" s="7">
        <v>201633</v>
      </c>
    </row>
    <row r="322" spans="2:16" hidden="1" x14ac:dyDescent="0.3">
      <c r="C322" s="1">
        <v>43160</v>
      </c>
      <c r="D322" s="21">
        <v>320</v>
      </c>
      <c r="E322" s="117"/>
      <c r="F322" t="s">
        <v>213</v>
      </c>
      <c r="G322" s="11">
        <v>15.07</v>
      </c>
      <c r="H322" s="11">
        <v>0</v>
      </c>
      <c r="I322" s="11">
        <f t="shared" si="15"/>
        <v>15.07</v>
      </c>
      <c r="J322" s="7">
        <v>201633</v>
      </c>
    </row>
    <row r="323" spans="2:16" hidden="1" x14ac:dyDescent="0.3">
      <c r="C323" s="1">
        <v>43160</v>
      </c>
      <c r="D323" s="21">
        <v>320</v>
      </c>
      <c r="E323" s="117"/>
      <c r="F323" t="s">
        <v>216</v>
      </c>
      <c r="G323" s="11">
        <v>81.45</v>
      </c>
      <c r="H323" s="11">
        <v>0</v>
      </c>
      <c r="I323" s="11">
        <f t="shared" si="15"/>
        <v>81.45</v>
      </c>
      <c r="J323" s="7">
        <v>201633</v>
      </c>
    </row>
    <row r="324" spans="2:16" hidden="1" x14ac:dyDescent="0.3">
      <c r="C324" s="1">
        <v>43160</v>
      </c>
      <c r="D324" s="21">
        <v>321</v>
      </c>
      <c r="E324" s="117"/>
      <c r="F324" t="s">
        <v>206</v>
      </c>
      <c r="G324" s="11">
        <v>175.11</v>
      </c>
      <c r="H324" s="11">
        <v>0</v>
      </c>
      <c r="I324" s="11">
        <f t="shared" si="15"/>
        <v>175.11</v>
      </c>
      <c r="J324" s="7">
        <v>201634</v>
      </c>
    </row>
    <row r="325" spans="2:16" hidden="1" x14ac:dyDescent="0.3">
      <c r="C325" s="1">
        <v>43160</v>
      </c>
      <c r="D325" s="21">
        <v>322</v>
      </c>
      <c r="E325" s="117"/>
      <c r="F325" t="s">
        <v>217</v>
      </c>
      <c r="G325" s="11">
        <v>28.13</v>
      </c>
      <c r="H325" s="11">
        <v>5.63</v>
      </c>
      <c r="I325" s="11">
        <f t="shared" si="15"/>
        <v>33.76</v>
      </c>
      <c r="J325" s="7">
        <v>201635</v>
      </c>
    </row>
    <row r="326" spans="2:16" hidden="1" x14ac:dyDescent="0.3">
      <c r="C326" s="1">
        <v>43160</v>
      </c>
      <c r="D326" s="21">
        <v>323</v>
      </c>
      <c r="E326" s="117"/>
      <c r="F326" t="s">
        <v>220</v>
      </c>
      <c r="G326" s="11">
        <v>34.99</v>
      </c>
      <c r="H326" s="11">
        <v>7</v>
      </c>
      <c r="I326" s="11">
        <f t="shared" si="15"/>
        <v>41.99</v>
      </c>
      <c r="J326" s="7">
        <v>201636</v>
      </c>
    </row>
    <row r="327" spans="2:16" hidden="1" x14ac:dyDescent="0.3">
      <c r="C327" s="1">
        <v>43160</v>
      </c>
      <c r="D327" s="21">
        <v>324</v>
      </c>
      <c r="E327" s="117"/>
      <c r="F327" t="s">
        <v>218</v>
      </c>
      <c r="G327" s="11">
        <v>693</v>
      </c>
      <c r="H327" s="11">
        <v>0</v>
      </c>
      <c r="I327" s="11">
        <f t="shared" si="15"/>
        <v>693</v>
      </c>
      <c r="J327" s="7" t="s">
        <v>26</v>
      </c>
    </row>
    <row r="328" spans="2:16" hidden="1" x14ac:dyDescent="0.3">
      <c r="C328" s="1">
        <v>42817</v>
      </c>
      <c r="D328" s="21">
        <v>325</v>
      </c>
      <c r="E328" s="117"/>
      <c r="F328" t="s">
        <v>209</v>
      </c>
      <c r="I328" s="11">
        <v>110.55</v>
      </c>
      <c r="J328" s="7">
        <v>201637</v>
      </c>
    </row>
    <row r="329" spans="2:16" hidden="1" x14ac:dyDescent="0.3">
      <c r="C329" s="1">
        <v>43182</v>
      </c>
      <c r="D329" s="21">
        <v>326</v>
      </c>
      <c r="E329" s="117"/>
      <c r="F329" t="s">
        <v>217</v>
      </c>
      <c r="G329" s="11">
        <v>79.98</v>
      </c>
      <c r="H329" s="11">
        <v>16</v>
      </c>
      <c r="I329" s="11">
        <v>95.98</v>
      </c>
      <c r="J329" s="7">
        <v>201638</v>
      </c>
    </row>
    <row r="330" spans="2:16" hidden="1" x14ac:dyDescent="0.3">
      <c r="C330" s="1">
        <v>43182</v>
      </c>
      <c r="D330" s="21">
        <v>327</v>
      </c>
      <c r="E330" s="117"/>
      <c r="F330" t="s">
        <v>128</v>
      </c>
      <c r="G330" s="11">
        <v>6.72</v>
      </c>
      <c r="H330" s="11">
        <v>0</v>
      </c>
      <c r="I330" s="11">
        <v>6.72</v>
      </c>
      <c r="J330" s="7">
        <v>201639</v>
      </c>
    </row>
    <row r="331" spans="2:16" hidden="1" x14ac:dyDescent="0.3">
      <c r="D331" s="21"/>
      <c r="E331" s="117"/>
      <c r="G331" s="11">
        <f>SUM(G320:G330)</f>
        <v>1874.0600000000004</v>
      </c>
      <c r="H331" s="11">
        <f>SUM(H320:H330)</f>
        <v>65.63</v>
      </c>
      <c r="I331" s="11">
        <f>SUM(I320:I330)</f>
        <v>2050.2400000000002</v>
      </c>
    </row>
    <row r="332" spans="2:16" hidden="1" x14ac:dyDescent="0.3">
      <c r="D332" s="21"/>
      <c r="E332" s="117"/>
    </row>
    <row r="333" spans="2:16" ht="39" x14ac:dyDescent="0.3">
      <c r="D333" s="21"/>
      <c r="E333" s="117"/>
      <c r="F333" s="48" t="s">
        <v>324</v>
      </c>
      <c r="K333" s="11"/>
      <c r="L333" s="186"/>
    </row>
    <row r="334" spans="2:16" ht="13.5" thickBot="1" x14ac:dyDescent="0.35">
      <c r="D334" s="21"/>
      <c r="E334" s="117"/>
    </row>
    <row r="335" spans="2:16" ht="26.5" thickBot="1" x14ac:dyDescent="0.35">
      <c r="B335" s="179"/>
      <c r="C335" s="210" t="s">
        <v>263</v>
      </c>
      <c r="D335" s="181" t="s">
        <v>1</v>
      </c>
      <c r="E335" s="182" t="s">
        <v>244</v>
      </c>
      <c r="F335" s="180" t="s">
        <v>243</v>
      </c>
      <c r="G335" s="183" t="s">
        <v>229</v>
      </c>
      <c r="H335" s="183" t="s">
        <v>222</v>
      </c>
      <c r="I335" s="183" t="s">
        <v>230</v>
      </c>
      <c r="J335" s="202" t="s">
        <v>262</v>
      </c>
      <c r="K335" s="184" t="s">
        <v>231</v>
      </c>
      <c r="L335" s="297" t="s">
        <v>238</v>
      </c>
      <c r="M335" s="296" t="s">
        <v>259</v>
      </c>
      <c r="N335" s="350" t="s">
        <v>249</v>
      </c>
      <c r="O335" s="40"/>
      <c r="P335" s="158" t="s">
        <v>301</v>
      </c>
    </row>
    <row r="336" spans="2:16" x14ac:dyDescent="0.3">
      <c r="B336" s="95">
        <v>45931</v>
      </c>
      <c r="C336" s="301">
        <f>'Annual Expenditure'!C421</f>
        <v>45936</v>
      </c>
      <c r="D336" s="109" t="str">
        <f>'Annual Expenditure'!D421</f>
        <v>2025-26/074</v>
      </c>
      <c r="E336" s="123">
        <f>'Annual Expenditure'!E421</f>
        <v>114.2</v>
      </c>
      <c r="F336" s="109" t="str">
        <f>'Annual Expenditure'!F421</f>
        <v>BT plc - V/Hall Wi-fi, September charges</v>
      </c>
      <c r="G336" s="295">
        <f>'Annual Expenditure'!G421</f>
        <v>32.950000000000003</v>
      </c>
      <c r="H336" s="295">
        <f>'Annual Expenditure'!H421</f>
        <v>6.59</v>
      </c>
      <c r="I336" s="295">
        <f>'Annual Expenditure'!I421</f>
        <v>39.540000000000006</v>
      </c>
      <c r="J336" s="295" t="str">
        <f>'Annual Expenditure'!J421</f>
        <v>Direct Debit</v>
      </c>
      <c r="K336" s="242">
        <f>'Annual Expenditure'!K421</f>
        <v>45936</v>
      </c>
      <c r="L336" s="376">
        <f>'Annual Expenditure'!L421</f>
        <v>22</v>
      </c>
      <c r="M336" s="295"/>
      <c r="N336" s="377">
        <f>'Annual Expenditure'!N421</f>
        <v>0.39161200000000013</v>
      </c>
      <c r="O336" s="40"/>
      <c r="P336" s="64" t="s">
        <v>302</v>
      </c>
    </row>
    <row r="337" spans="2:16" x14ac:dyDescent="0.3">
      <c r="B337" s="32"/>
      <c r="C337" s="301">
        <f>'Annual Expenditure'!C422</f>
        <v>45945</v>
      </c>
      <c r="D337" s="109" t="str">
        <f>'Annual Expenditure'!D422</f>
        <v>2025-26/075</v>
      </c>
      <c r="E337" s="123">
        <f>'Annual Expenditure'!E422</f>
        <v>114.2</v>
      </c>
      <c r="F337" s="109" t="str">
        <f>'Annual Expenditure'!F422</f>
        <v>Massey &amp; Harris - Replacement parts for swing basket</v>
      </c>
      <c r="G337" s="295">
        <f>'Annual Expenditure'!G422</f>
        <v>679</v>
      </c>
      <c r="H337" s="295">
        <f>'Annual Expenditure'!H422</f>
        <v>135.80000000000001</v>
      </c>
      <c r="I337" s="295">
        <f>'Annual Expenditure'!I422</f>
        <v>814.8</v>
      </c>
      <c r="J337" s="295" t="str">
        <f>'Annual Expenditure'!J422</f>
        <v>Bank Transfer</v>
      </c>
      <c r="K337" s="242">
        <f>'Annual Expenditure'!K422</f>
        <v>45945</v>
      </c>
      <c r="L337" s="376">
        <f>'Annual Expenditure'!L422</f>
        <v>28</v>
      </c>
      <c r="M337" s="29"/>
      <c r="N337" s="377">
        <f>'Annual Expenditure'!N422</f>
        <v>0.28816976127320953</v>
      </c>
      <c r="O337" s="40"/>
      <c r="P337" s="64" t="s">
        <v>319</v>
      </c>
    </row>
    <row r="338" spans="2:16" x14ac:dyDescent="0.3">
      <c r="B338" s="32"/>
      <c r="C338" s="301">
        <f>'Annual Expenditure'!C423</f>
        <v>45945</v>
      </c>
      <c r="D338" s="109" t="str">
        <f>'Annual Expenditure'!D423</f>
        <v>2025-26/076</v>
      </c>
      <c r="E338" s="123">
        <f>'Annual Expenditure'!E423</f>
        <v>114.2</v>
      </c>
      <c r="F338" s="109" t="str">
        <f>'Annual Expenditure'!F423</f>
        <v>Cleaner Care Ltd - VH Cleans for September</v>
      </c>
      <c r="G338" s="295">
        <f>'Annual Expenditure'!G423</f>
        <v>51.25</v>
      </c>
      <c r="H338" s="295">
        <f>'Annual Expenditure'!H423</f>
        <v>10.25</v>
      </c>
      <c r="I338" s="295">
        <f>'Annual Expenditure'!I423</f>
        <v>61.5</v>
      </c>
      <c r="J338" s="295" t="str">
        <f>'Annual Expenditure'!J423</f>
        <v>Bank Transfer</v>
      </c>
      <c r="K338" s="242">
        <f>'Annual Expenditure'!K423</f>
        <v>45945</v>
      </c>
      <c r="L338" s="376">
        <f>'Annual Expenditure'!L423</f>
        <v>22</v>
      </c>
      <c r="M338" s="29"/>
      <c r="N338" s="377">
        <f>'Annual Expenditure'!N423</f>
        <v>0.41211200000000009</v>
      </c>
      <c r="O338" s="40"/>
      <c r="P338" s="64" t="s">
        <v>256</v>
      </c>
    </row>
    <row r="339" spans="2:16" x14ac:dyDescent="0.3">
      <c r="B339" s="32"/>
      <c r="C339" s="301">
        <f>'Annual Expenditure'!C424</f>
        <v>46310</v>
      </c>
      <c r="D339" s="109" t="str">
        <f>'Annual Expenditure'!D424</f>
        <v>2025-26/077</v>
      </c>
      <c r="E339" s="123">
        <f>'Annual Expenditure'!E424</f>
        <v>114.2</v>
      </c>
      <c r="F339" s="109" t="str">
        <f>'Annual Expenditure'!F424</f>
        <v>HMRC Cumbernaud - Employer NIC 2025/26, Q2 to 05/10/2025</v>
      </c>
      <c r="G339" s="295">
        <f>'Annual Expenditure'!G424</f>
        <v>269.07</v>
      </c>
      <c r="H339" s="295">
        <f>'Annual Expenditure'!H424</f>
        <v>0</v>
      </c>
      <c r="I339" s="295">
        <f>'Annual Expenditure'!I424</f>
        <v>269.07</v>
      </c>
      <c r="J339" s="295" t="str">
        <f>'Annual Expenditure'!J424</f>
        <v>Bank Transfer</v>
      </c>
      <c r="K339" s="242">
        <f>'Annual Expenditure'!K424</f>
        <v>45945</v>
      </c>
      <c r="L339" s="376">
        <f>'Annual Expenditure'!L424</f>
        <v>2</v>
      </c>
      <c r="M339" s="29"/>
      <c r="N339" s="377">
        <f>'Annual Expenditure'!N424</f>
        <v>0.49865379259121717</v>
      </c>
      <c r="O339" s="40"/>
      <c r="P339" s="64" t="s">
        <v>257</v>
      </c>
    </row>
    <row r="340" spans="2:16" x14ac:dyDescent="0.3">
      <c r="B340" s="32"/>
      <c r="C340" s="301">
        <f>'Annual Expenditure'!C425</f>
        <v>45945</v>
      </c>
      <c r="D340" s="109" t="str">
        <f>'Annual Expenditure'!D425</f>
        <v>2025-26/078</v>
      </c>
      <c r="E340" s="123">
        <f>'Annual Expenditure'!E425</f>
        <v>114.2</v>
      </c>
      <c r="F340" s="109" t="str">
        <f>'Annual Expenditure'!F425</f>
        <v>Rob Duncalf - Main Cemetery strimming for September</v>
      </c>
      <c r="G340" s="295">
        <f>'Annual Expenditure'!G425</f>
        <v>250</v>
      </c>
      <c r="H340" s="295">
        <f>'Annual Expenditure'!H425</f>
        <v>0</v>
      </c>
      <c r="I340" s="295">
        <f>'Annual Expenditure'!I425</f>
        <v>250</v>
      </c>
      <c r="J340" s="295" t="str">
        <f>'Annual Expenditure'!J425</f>
        <v>Bank Transfer</v>
      </c>
      <c r="K340" s="242">
        <f>'Annual Expenditure'!K425</f>
        <v>45945</v>
      </c>
      <c r="L340" s="376">
        <f>'Annual Expenditure'!L425</f>
        <v>17</v>
      </c>
      <c r="M340" s="29"/>
      <c r="N340" s="388">
        <f>'Annual Expenditure'!N425</f>
        <v>0.78688524590163933</v>
      </c>
      <c r="O340" s="40"/>
      <c r="P340" s="64" t="s">
        <v>266</v>
      </c>
    </row>
    <row r="341" spans="2:16" x14ac:dyDescent="0.3">
      <c r="B341" s="32"/>
      <c r="C341" s="301">
        <f>'Annual Expenditure'!C426</f>
        <v>45945</v>
      </c>
      <c r="D341" s="109" t="str">
        <f>'Annual Expenditure'!D426</f>
        <v>2025-26/079</v>
      </c>
      <c r="E341" s="123">
        <f>'Annual Expenditure'!E426</f>
        <v>114.2</v>
      </c>
      <c r="F341" s="109" t="str">
        <f>'Annual Expenditure'!F426</f>
        <v>Amazon - V/Hall sundries, Selpak Z fold paper towels (2400)</v>
      </c>
      <c r="G341" s="295">
        <f>'Annual Expenditure'!G426</f>
        <v>22.23</v>
      </c>
      <c r="H341" s="295">
        <f>'Annual Expenditure'!H426</f>
        <v>4.45</v>
      </c>
      <c r="I341" s="295">
        <f>'Annual Expenditure'!I426</f>
        <v>26.68</v>
      </c>
      <c r="J341" s="295" t="str">
        <f>'Annual Expenditure'!J426</f>
        <v>Debit Card</v>
      </c>
      <c r="K341" s="242">
        <f>'Annual Expenditure'!K426</f>
        <v>45945</v>
      </c>
      <c r="L341" s="376">
        <f>'Annual Expenditure'!L426</f>
        <v>22</v>
      </c>
      <c r="M341" s="29"/>
      <c r="N341" s="377">
        <f>'Annual Expenditure'!N426</f>
        <v>0.4210040000000001</v>
      </c>
      <c r="O341" s="40"/>
      <c r="P341" s="64" t="s">
        <v>303</v>
      </c>
    </row>
    <row r="342" spans="2:16" x14ac:dyDescent="0.3">
      <c r="B342" s="32"/>
      <c r="C342" s="301">
        <f>'Annual Expenditure'!C427</f>
        <v>45945</v>
      </c>
      <c r="D342" s="109" t="str">
        <f>'Annual Expenditure'!D427</f>
        <v>2025-26/080</v>
      </c>
      <c r="E342" s="123">
        <f>'Annual Expenditure'!E427</f>
        <v>114.2</v>
      </c>
      <c r="F342" s="109" t="str">
        <f>'Annual Expenditure'!F427</f>
        <v>OVO Energy Ltd - VH electricity usage, 07/09/25 to 06/10/25</v>
      </c>
      <c r="G342" s="295">
        <f>'Annual Expenditure'!G427</f>
        <v>51.58</v>
      </c>
      <c r="H342" s="295">
        <f>'Annual Expenditure'!H427</f>
        <v>0</v>
      </c>
      <c r="I342" s="295">
        <f>'Annual Expenditure'!I427</f>
        <v>51.58</v>
      </c>
      <c r="J342" s="295" t="str">
        <f>'Annual Expenditure'!J427</f>
        <v>Bank Transfer</v>
      </c>
      <c r="K342" s="242">
        <f>'Annual Expenditure'!K427</f>
        <v>45945</v>
      </c>
      <c r="L342" s="376">
        <f>'Annual Expenditure'!L427</f>
        <v>22</v>
      </c>
      <c r="M342" s="29"/>
      <c r="N342" s="377">
        <f>'Annual Expenditure'!N427</f>
        <v>0.44163600000000008</v>
      </c>
      <c r="O342" s="40"/>
      <c r="P342" s="64" t="s">
        <v>267</v>
      </c>
    </row>
    <row r="343" spans="2:16" x14ac:dyDescent="0.3">
      <c r="B343" s="32"/>
      <c r="C343" s="301">
        <f>'Annual Expenditure'!C428</f>
        <v>45958</v>
      </c>
      <c r="D343" s="109" t="str">
        <f>'Annual Expenditure'!D428</f>
        <v>2025-26/081</v>
      </c>
      <c r="E343" s="123">
        <f>'Annual Expenditure'!E428</f>
        <v>114.2</v>
      </c>
      <c r="F343" s="109" t="str">
        <f>'Annual Expenditure'!F428</f>
        <v>Clerk’s Salary for October</v>
      </c>
      <c r="G343" s="295">
        <f>'Annual Expenditure'!G428</f>
        <v>1014.94</v>
      </c>
      <c r="H343" s="295">
        <f>'Annual Expenditure'!H428</f>
        <v>0</v>
      </c>
      <c r="I343" s="295">
        <f>'Annual Expenditure'!I428</f>
        <v>1014.94</v>
      </c>
      <c r="J343" s="295" t="str">
        <f>'Annual Expenditure'!J428</f>
        <v>S/Order</v>
      </c>
      <c r="K343" s="242">
        <f>'Annual Expenditure'!K428</f>
        <v>45958</v>
      </c>
      <c r="L343" s="376">
        <f>'Annual Expenditure'!L428</f>
        <v>1</v>
      </c>
      <c r="M343" s="29"/>
      <c r="N343" s="377">
        <f>'Annual Expenditure'!N428</f>
        <v>0.55555529489961497</v>
      </c>
      <c r="O343" s="40"/>
      <c r="P343" s="64" t="s">
        <v>304</v>
      </c>
    </row>
    <row r="344" spans="2:16" x14ac:dyDescent="0.3">
      <c r="B344" s="32"/>
      <c r="C344" s="301">
        <f>'Annual Expenditure'!C429</f>
        <v>45958</v>
      </c>
      <c r="D344" s="109" t="str">
        <f>'Annual Expenditure'!D429</f>
        <v>2025-26/082</v>
      </c>
      <c r="E344" s="123">
        <f>'Annual Expenditure'!E429</f>
        <v>114.2</v>
      </c>
      <c r="F344" s="109" t="str">
        <f>'Annual Expenditure'!F429</f>
        <v>Clerk’s Office Allowance (WFH)</v>
      </c>
      <c r="G344" s="295">
        <f>'Annual Expenditure'!G429</f>
        <v>26</v>
      </c>
      <c r="H344" s="295">
        <f>'Annual Expenditure'!H429</f>
        <v>0</v>
      </c>
      <c r="I344" s="295">
        <f>'Annual Expenditure'!I429</f>
        <v>26</v>
      </c>
      <c r="J344" s="295" t="str">
        <f>'Annual Expenditure'!J429</f>
        <v>S/Order</v>
      </c>
      <c r="K344" s="242">
        <f>'Annual Expenditure'!K429</f>
        <v>45958</v>
      </c>
      <c r="L344" s="376">
        <f>'Annual Expenditure'!L429</f>
        <v>3</v>
      </c>
      <c r="M344" s="29"/>
      <c r="N344" s="377">
        <f>'Annual Expenditure'!N429</f>
        <v>0.58333333333333337</v>
      </c>
      <c r="O344" s="67"/>
      <c r="P344" s="64" t="s">
        <v>271</v>
      </c>
    </row>
    <row r="345" spans="2:16" x14ac:dyDescent="0.3">
      <c r="B345" s="32"/>
      <c r="C345" s="301">
        <f>'Annual Expenditure'!C430</f>
        <v>45952</v>
      </c>
      <c r="D345" s="109" t="str">
        <f>'Annual Expenditure'!D430</f>
        <v>2025-26/083</v>
      </c>
      <c r="E345" s="123">
        <f>'Annual Expenditure'!E430</f>
        <v>124</v>
      </c>
      <c r="F345" s="109" t="str">
        <f>'Annual Expenditure'!F430</f>
        <v>Tesco Mobile - Upfront cost for new phone contract/handset</v>
      </c>
      <c r="G345" s="295">
        <f>'Annual Expenditure'!G430</f>
        <v>8</v>
      </c>
      <c r="H345" s="295">
        <f>'Annual Expenditure'!H430</f>
        <v>0</v>
      </c>
      <c r="I345" s="295">
        <f>'Annual Expenditure'!I430</f>
        <v>8</v>
      </c>
      <c r="J345" s="295" t="str">
        <f>'Annual Expenditure'!J430</f>
        <v>Debit Card</v>
      </c>
      <c r="K345" s="242">
        <f>'Annual Expenditure'!K430</f>
        <v>45952</v>
      </c>
      <c r="L345" s="376">
        <f>'Annual Expenditure'!L430</f>
        <v>35</v>
      </c>
      <c r="M345" s="29"/>
      <c r="N345" s="377">
        <f>'Annual Expenditure'!N430</f>
        <v>3.0188679245283019E-2</v>
      </c>
      <c r="O345" s="40"/>
      <c r="P345" s="64" t="s">
        <v>305</v>
      </c>
    </row>
    <row r="346" spans="2:16" x14ac:dyDescent="0.3">
      <c r="B346" s="32"/>
      <c r="C346" s="301">
        <f>'Annual Expenditure'!C431</f>
        <v>45958</v>
      </c>
      <c r="D346" s="109" t="str">
        <f>'Annual Expenditure'!D431</f>
        <v>2025-26/084</v>
      </c>
      <c r="E346" s="123">
        <f>'Annual Expenditure'!E431</f>
        <v>118.1</v>
      </c>
      <c r="F346" s="109" t="str">
        <f>'Annual Expenditure'!F431</f>
        <v>OVO Energy Ltd - VH electricity, new monthly payment plan</v>
      </c>
      <c r="G346" s="295">
        <f>'Annual Expenditure'!G431</f>
        <v>55</v>
      </c>
      <c r="H346" s="295">
        <f>'Annual Expenditure'!H431</f>
        <v>0</v>
      </c>
      <c r="I346" s="295">
        <f>'Annual Expenditure'!I431</f>
        <v>55</v>
      </c>
      <c r="J346" s="295" t="str">
        <f>'Annual Expenditure'!J431</f>
        <v>Direct Debit</v>
      </c>
      <c r="K346" s="242">
        <f>'Annual Expenditure'!K431</f>
        <v>45958</v>
      </c>
      <c r="L346" s="376">
        <f>'Annual Expenditure'!L431</f>
        <v>22</v>
      </c>
      <c r="M346" s="29"/>
      <c r="N346" s="377">
        <f>'Annual Expenditure'!N431</f>
        <v>0.46363600000000005</v>
      </c>
      <c r="O346" s="40"/>
      <c r="P346" s="64" t="s">
        <v>306</v>
      </c>
    </row>
    <row r="347" spans="2:16" ht="13.5" thickBot="1" x14ac:dyDescent="0.35">
      <c r="B347" s="308"/>
      <c r="C347" s="71"/>
      <c r="D347" s="73"/>
      <c r="E347" s="125"/>
      <c r="F347" s="74"/>
      <c r="G347" s="75">
        <f>SUM(G336:G346)</f>
        <v>2460.02</v>
      </c>
      <c r="H347" s="75">
        <f>SUM(H336:H346)</f>
        <v>157.09</v>
      </c>
      <c r="I347" s="75">
        <f>SUM(I336:I346)</f>
        <v>2617.1099999999997</v>
      </c>
      <c r="J347" s="76"/>
      <c r="K347" s="71"/>
      <c r="L347" s="77"/>
      <c r="M347" s="77"/>
      <c r="N347" s="78"/>
      <c r="O347" s="40"/>
      <c r="P347" s="64" t="s">
        <v>307</v>
      </c>
    </row>
    <row r="348" spans="2:16" ht="26.5" thickBot="1" x14ac:dyDescent="0.35">
      <c r="B348" s="179"/>
      <c r="C348" s="210" t="s">
        <v>263</v>
      </c>
      <c r="D348" s="181" t="s">
        <v>1</v>
      </c>
      <c r="E348" s="182" t="s">
        <v>244</v>
      </c>
      <c r="F348" s="180" t="s">
        <v>243</v>
      </c>
      <c r="G348" s="183" t="s">
        <v>229</v>
      </c>
      <c r="H348" s="183" t="s">
        <v>222</v>
      </c>
      <c r="I348" s="183" t="s">
        <v>230</v>
      </c>
      <c r="J348" s="202" t="s">
        <v>262</v>
      </c>
      <c r="K348" s="184" t="s">
        <v>231</v>
      </c>
      <c r="L348" s="183" t="s">
        <v>238</v>
      </c>
      <c r="M348" s="183" t="s">
        <v>259</v>
      </c>
      <c r="N348" s="358" t="s">
        <v>249</v>
      </c>
      <c r="O348" s="40"/>
      <c r="P348" s="64" t="s">
        <v>308</v>
      </c>
    </row>
    <row r="349" spans="2:16" x14ac:dyDescent="0.3">
      <c r="B349" s="95">
        <v>45962</v>
      </c>
      <c r="C349" s="97">
        <f>'Annual Expenditure'!C434</f>
        <v>45965</v>
      </c>
      <c r="D349" s="97" t="str">
        <f>'Annual Expenditure'!D434</f>
        <v>2025-26/085</v>
      </c>
      <c r="E349" s="354">
        <f>'Annual Expenditure'!E434</f>
        <v>135.19999999999999</v>
      </c>
      <c r="F349" s="97" t="str">
        <f>'Annual Expenditure'!F434</f>
        <v>BT plc - V/Hall Wi-fi, October charges</v>
      </c>
      <c r="G349" s="167" cm="1">
        <f t="array" ref="G349:N349">'Annual Expenditure'!G434:N434</f>
        <v>32.950000000000003</v>
      </c>
      <c r="H349" s="167">
        <v>6.59</v>
      </c>
      <c r="I349" s="167">
        <v>39.540000000000006</v>
      </c>
      <c r="J349" s="167" t="str">
        <v>Direct Debit</v>
      </c>
      <c r="K349" s="97">
        <v>45965</v>
      </c>
      <c r="L349" s="357">
        <v>22</v>
      </c>
      <c r="M349" s="383">
        <v>0</v>
      </c>
      <c r="N349" s="211">
        <v>0.47681600000000007</v>
      </c>
      <c r="O349" s="40"/>
      <c r="P349" s="64" t="s">
        <v>239</v>
      </c>
    </row>
    <row r="350" spans="2:16" x14ac:dyDescent="0.3">
      <c r="B350" s="32"/>
      <c r="C350" s="97">
        <f>'Annual Expenditure'!C435</f>
        <v>45967</v>
      </c>
      <c r="D350" s="97" t="str">
        <f>'Annual Expenditure'!D435</f>
        <v>2025-26/086</v>
      </c>
      <c r="E350" s="354">
        <f>'Annual Expenditure'!E435</f>
        <v>135.19999999999999</v>
      </c>
      <c r="F350" s="97" t="str">
        <f>'Annual Expenditure'!F435</f>
        <v>ICO - Data Protection Renewal</v>
      </c>
      <c r="G350" s="167" cm="1">
        <f t="array" ref="G350:N350">'Annual Expenditure'!G435:N435</f>
        <v>47</v>
      </c>
      <c r="H350" s="169">
        <v>0</v>
      </c>
      <c r="I350" s="169">
        <v>47</v>
      </c>
      <c r="J350" s="169" t="str">
        <v>Direct Debit</v>
      </c>
      <c r="K350" s="28">
        <v>45967</v>
      </c>
      <c r="L350" s="305">
        <v>12</v>
      </c>
      <c r="M350" s="384">
        <v>0</v>
      </c>
      <c r="N350" s="387">
        <v>1</v>
      </c>
      <c r="O350" s="40"/>
      <c r="P350" s="64" t="s">
        <v>309</v>
      </c>
    </row>
    <row r="351" spans="2:16" x14ac:dyDescent="0.3">
      <c r="B351" s="32"/>
      <c r="C351" s="97">
        <f>'Annual Expenditure'!C436</f>
        <v>45973</v>
      </c>
      <c r="D351" s="97" t="str">
        <f>'Annual Expenditure'!D436</f>
        <v>2025-26/087</v>
      </c>
      <c r="E351" s="354">
        <f>'Annual Expenditure'!E436</f>
        <v>135.19999999999999</v>
      </c>
      <c r="F351" s="97" t="str">
        <f>'Annual Expenditure'!F436</f>
        <v>RBL Poppy Appeal - Remembrance Day Community Wreath</v>
      </c>
      <c r="G351" s="167" cm="1">
        <f t="array" ref="G351:N351">'Annual Expenditure'!G436:N436</f>
        <v>25</v>
      </c>
      <c r="H351" s="169">
        <v>0</v>
      </c>
      <c r="I351" s="169">
        <v>25</v>
      </c>
      <c r="J351" s="169" t="str">
        <v>Cheque</v>
      </c>
      <c r="K351" s="28">
        <v>45994</v>
      </c>
      <c r="L351" s="305">
        <v>26</v>
      </c>
      <c r="M351" s="42" t="str">
        <v>✓</v>
      </c>
      <c r="N351" s="59">
        <v>0.55000000000000004</v>
      </c>
      <c r="O351" s="40"/>
      <c r="P351" s="64" t="s">
        <v>240</v>
      </c>
    </row>
    <row r="352" spans="2:16" x14ac:dyDescent="0.3">
      <c r="B352" s="32"/>
      <c r="C352" s="97">
        <f>'Annual Expenditure'!C437</f>
        <v>45973</v>
      </c>
      <c r="D352" s="97" t="str">
        <f>'Annual Expenditure'!D437</f>
        <v>2025-26/088</v>
      </c>
      <c r="E352" s="354">
        <f>'Annual Expenditure'!E437</f>
        <v>135.19999999999999</v>
      </c>
      <c r="F352" s="97" t="str">
        <f>'Annual Expenditure'!F437</f>
        <v>Cleaner Care Ltd - VH Cleans for October</v>
      </c>
      <c r="G352" s="167" cm="1">
        <f t="array" ref="G352:N352">'Annual Expenditure'!G437:N437</f>
        <v>51.25</v>
      </c>
      <c r="H352" s="169">
        <v>10.25</v>
      </c>
      <c r="I352" s="169">
        <v>61.5</v>
      </c>
      <c r="J352" s="169" t="str">
        <v>Bank Transfer</v>
      </c>
      <c r="K352" s="28">
        <v>45973</v>
      </c>
      <c r="L352" s="305">
        <v>22</v>
      </c>
      <c r="M352" s="384">
        <v>0</v>
      </c>
      <c r="N352" s="59">
        <v>0.49731600000000009</v>
      </c>
      <c r="O352" s="40"/>
      <c r="P352" s="64" t="s">
        <v>310</v>
      </c>
    </row>
    <row r="353" spans="1:16" x14ac:dyDescent="0.3">
      <c r="B353" s="32"/>
      <c r="C353" s="97">
        <f>'Annual Expenditure'!C438</f>
        <v>45973</v>
      </c>
      <c r="D353" s="97" t="str">
        <f>'Annual Expenditure'!D438</f>
        <v>2025-26/089</v>
      </c>
      <c r="E353" s="354">
        <f>'Annual Expenditure'!E438</f>
        <v>135.19999999999999</v>
      </c>
      <c r="F353" s="97" t="str">
        <f>'Annual Expenditure'!F438</f>
        <v>Rob Duncalf - final Cemetery Extension cut for 2025</v>
      </c>
      <c r="G353" s="167" cm="1">
        <f t="array" ref="G353:N353">'Annual Expenditure'!G438:N438</f>
        <v>400</v>
      </c>
      <c r="H353" s="169">
        <v>0</v>
      </c>
      <c r="I353" s="169">
        <v>400</v>
      </c>
      <c r="J353" s="169" t="str">
        <v>Bank Transfer</v>
      </c>
      <c r="K353" s="28">
        <v>45973</v>
      </c>
      <c r="L353" s="305">
        <v>17</v>
      </c>
      <c r="M353" s="384">
        <v>0</v>
      </c>
      <c r="N353" s="389">
        <v>0.91803278688524592</v>
      </c>
      <c r="O353" s="40"/>
      <c r="P353" s="64" t="s">
        <v>511</v>
      </c>
    </row>
    <row r="354" spans="1:16" x14ac:dyDescent="0.3">
      <c r="B354" s="32"/>
      <c r="C354" s="97">
        <f>'Annual Expenditure'!C439</f>
        <v>45973</v>
      </c>
      <c r="D354" s="97" t="str">
        <f>'Annual Expenditure'!D439</f>
        <v>2025-26/090</v>
      </c>
      <c r="E354" s="354">
        <f>'Annual Expenditure'!E439</f>
        <v>135.19999999999999</v>
      </c>
      <c r="F354" s="97" t="str">
        <f>'Annual Expenditure'!F439</f>
        <v>Rob Duncalf - Autumn 2025 footpath maintenance</v>
      </c>
      <c r="G354" s="167" cm="1">
        <f t="array" ref="G354:N354">'Annual Expenditure'!G439:N439</f>
        <v>650</v>
      </c>
      <c r="H354" s="169">
        <v>0</v>
      </c>
      <c r="I354" s="169">
        <v>650</v>
      </c>
      <c r="J354" s="169" t="str">
        <v>Bank Transfer</v>
      </c>
      <c r="K354" s="28">
        <v>45973</v>
      </c>
      <c r="L354" s="305">
        <v>19</v>
      </c>
      <c r="M354" s="385">
        <v>0</v>
      </c>
      <c r="N354" s="387">
        <v>1</v>
      </c>
      <c r="O354" s="40"/>
      <c r="P354" s="64" t="s">
        <v>311</v>
      </c>
    </row>
    <row r="355" spans="1:16" x14ac:dyDescent="0.3">
      <c r="B355" s="32"/>
      <c r="C355" s="97">
        <f>'Annual Expenditure'!C440</f>
        <v>45973</v>
      </c>
      <c r="D355" s="97" t="str">
        <f>'Annual Expenditure'!D440</f>
        <v>2025-26/091</v>
      </c>
      <c r="E355" s="354">
        <f>'Annual Expenditure'!E440</f>
        <v>135.19999999999999</v>
      </c>
      <c r="F355" s="97" t="str">
        <f>'Annual Expenditure'!F440</f>
        <v>Arfon Roberts - Grass cutting, recreation fields in September</v>
      </c>
      <c r="G355" s="167" cm="1">
        <f t="array" ref="G355:N355">'Annual Expenditure'!G440:N440</f>
        <v>120</v>
      </c>
      <c r="H355" s="169">
        <v>24</v>
      </c>
      <c r="I355" s="169">
        <v>144</v>
      </c>
      <c r="J355" s="169" t="str">
        <v>Bank Transfer</v>
      </c>
      <c r="K355" s="28">
        <v>45973</v>
      </c>
      <c r="L355" s="305">
        <v>15</v>
      </c>
      <c r="M355" s="385">
        <v>0</v>
      </c>
      <c r="N355" s="59">
        <v>0.30235507246376814</v>
      </c>
      <c r="O355" s="40"/>
      <c r="P355" s="64" t="s">
        <v>312</v>
      </c>
    </row>
    <row r="356" spans="1:16" x14ac:dyDescent="0.3">
      <c r="B356" s="32"/>
      <c r="C356" s="97">
        <f>'Annual Expenditure'!C441</f>
        <v>45989</v>
      </c>
      <c r="D356" s="97" t="str">
        <f>'Annual Expenditure'!D441</f>
        <v>2025-26/092</v>
      </c>
      <c r="E356" s="354">
        <f>'Annual Expenditure'!E441</f>
        <v>135.19999999999999</v>
      </c>
      <c r="F356" s="97" t="str">
        <f>'Annual Expenditure'!F441</f>
        <v>OVO Energy Ltd - VH electricity, fixed monthly payment</v>
      </c>
      <c r="G356" s="167" cm="1">
        <f t="array" ref="G356:N356">'Annual Expenditure'!G441:N441</f>
        <v>65</v>
      </c>
      <c r="H356" s="169">
        <v>0</v>
      </c>
      <c r="I356" s="169">
        <v>65</v>
      </c>
      <c r="J356" s="169" t="str">
        <v>Direct Debit</v>
      </c>
      <c r="K356" s="28">
        <v>45989</v>
      </c>
      <c r="L356" s="305">
        <v>22</v>
      </c>
      <c r="M356" s="384">
        <v>0</v>
      </c>
      <c r="N356" s="59">
        <v>0.52331600000000011</v>
      </c>
      <c r="O356" s="40"/>
      <c r="P356" s="64" t="s">
        <v>268</v>
      </c>
    </row>
    <row r="357" spans="1:16" x14ac:dyDescent="0.3">
      <c r="B357" s="31"/>
      <c r="C357" s="97">
        <f>'Annual Expenditure'!C442</f>
        <v>45989</v>
      </c>
      <c r="D357" s="97" t="str">
        <f>'Annual Expenditure'!D442</f>
        <v>2025-26/093</v>
      </c>
      <c r="E357" s="354">
        <f>'Annual Expenditure'!E442</f>
        <v>135.19999999999999</v>
      </c>
      <c r="F357" s="97" t="str">
        <f>'Annual Expenditure'!F442</f>
        <v>Clerk’s Salary for November</v>
      </c>
      <c r="G357" s="167" cm="1">
        <f t="array" ref="G357:N357">'Annual Expenditure'!G442:N442</f>
        <v>1014.94</v>
      </c>
      <c r="H357" s="169">
        <v>0</v>
      </c>
      <c r="I357" s="169">
        <v>1014.94</v>
      </c>
      <c r="J357" s="169" t="str">
        <v>S/Order</v>
      </c>
      <c r="K357" s="28">
        <v>45958</v>
      </c>
      <c r="L357" s="306">
        <v>1</v>
      </c>
      <c r="M357" s="384">
        <v>0</v>
      </c>
      <c r="N357" s="59">
        <v>0.63492033702813144</v>
      </c>
      <c r="O357" s="40"/>
      <c r="P357" s="266" t="s">
        <v>313</v>
      </c>
    </row>
    <row r="358" spans="1:16" x14ac:dyDescent="0.3">
      <c r="B358" s="31"/>
      <c r="C358" s="97">
        <f>'Annual Expenditure'!C443</f>
        <v>45989</v>
      </c>
      <c r="D358" s="97" t="str">
        <f>'Annual Expenditure'!D443</f>
        <v>2025-26/094</v>
      </c>
      <c r="E358" s="354">
        <f>'Annual Expenditure'!E443</f>
        <v>135.19999999999999</v>
      </c>
      <c r="F358" s="97" t="str">
        <f>'Annual Expenditure'!F443</f>
        <v>Clerk’s Office Allowance (WFH)</v>
      </c>
      <c r="G358" s="167" cm="1">
        <f t="array" ref="G358:N358">'Annual Expenditure'!G443:N443</f>
        <v>26</v>
      </c>
      <c r="H358" s="169">
        <v>0</v>
      </c>
      <c r="I358" s="169">
        <v>26</v>
      </c>
      <c r="J358" s="169" t="str">
        <v>S/Order</v>
      </c>
      <c r="K358" s="28">
        <v>45958</v>
      </c>
      <c r="L358" s="305">
        <v>3</v>
      </c>
      <c r="M358" s="384">
        <v>0</v>
      </c>
      <c r="N358" s="59">
        <v>0.66666666666666663</v>
      </c>
      <c r="O358" s="40"/>
      <c r="P358" s="64" t="s">
        <v>241</v>
      </c>
    </row>
    <row r="359" spans="1:16" x14ac:dyDescent="0.3">
      <c r="B359" s="308"/>
      <c r="C359" s="97">
        <f>'Annual Expenditure'!C444</f>
        <v>45974</v>
      </c>
      <c r="D359" s="97" t="str">
        <f>'Annual Expenditure'!D444</f>
        <v>2025/26-095</v>
      </c>
      <c r="E359" s="354" t="str">
        <f>'Annual Expenditure'!E444</f>
        <v>139.1.2</v>
      </c>
      <c r="F359" s="97" t="str">
        <f>'Annual Expenditure'!F444</f>
        <v>Toolstation - VH replacement portable heaters</v>
      </c>
      <c r="G359" s="167" cm="1">
        <f t="array" ref="G359:N359">'Annual Expenditure'!G444:N444</f>
        <v>61.63</v>
      </c>
      <c r="H359" s="232">
        <v>12.33</v>
      </c>
      <c r="I359" s="232">
        <v>73.960000000000008</v>
      </c>
      <c r="J359" s="232" t="str">
        <v>Debit Card</v>
      </c>
      <c r="K359" s="71">
        <v>45974</v>
      </c>
      <c r="L359" s="382">
        <v>21</v>
      </c>
      <c r="M359" s="386">
        <v>0</v>
      </c>
      <c r="N359" s="78">
        <v>0.24828999999999998</v>
      </c>
      <c r="O359" s="40"/>
      <c r="P359" s="64"/>
    </row>
    <row r="360" spans="1:16" x14ac:dyDescent="0.3">
      <c r="B360" s="308"/>
      <c r="C360" s="97">
        <f>'Annual Expenditure'!C445</f>
        <v>45989</v>
      </c>
      <c r="D360" s="97" t="str">
        <f>'Annual Expenditure'!D445</f>
        <v>2025-26/096</v>
      </c>
      <c r="E360" s="354">
        <f>'Annual Expenditure'!E445</f>
        <v>157.19999999999999</v>
      </c>
      <c r="F360" s="97" t="str">
        <f>'Annual Expenditure'!F445</f>
        <v>Amazon - office supplies, A4 paper, lever arch files/plastic wallets</v>
      </c>
      <c r="G360" s="167" cm="1">
        <f t="array" ref="G360:N360">'Annual Expenditure'!G445:N445</f>
        <v>30.84</v>
      </c>
      <c r="H360" s="232">
        <v>6.17</v>
      </c>
      <c r="I360" s="232">
        <v>37.01</v>
      </c>
      <c r="J360" s="232" t="str">
        <v>Debit Card</v>
      </c>
      <c r="K360" s="71">
        <v>45989</v>
      </c>
      <c r="L360" s="382">
        <v>6</v>
      </c>
      <c r="M360" s="386">
        <v>0</v>
      </c>
      <c r="N360" s="78">
        <v>0.44425714285714291</v>
      </c>
      <c r="O360" s="40"/>
      <c r="P360" s="64"/>
    </row>
    <row r="361" spans="1:16" ht="13.5" thickBot="1" x14ac:dyDescent="0.35">
      <c r="A361" s="153"/>
      <c r="B361" s="308"/>
      <c r="C361" s="71"/>
      <c r="D361" s="73"/>
      <c r="E361" s="125"/>
      <c r="F361" s="74"/>
      <c r="G361" s="75">
        <f>SUM(G349:G358)</f>
        <v>2432.1400000000003</v>
      </c>
      <c r="H361" s="75">
        <f>SUM(H349:H358)</f>
        <v>40.840000000000003</v>
      </c>
      <c r="I361" s="75">
        <f>SUM(I349:I358)</f>
        <v>2472.98</v>
      </c>
      <c r="J361" s="76"/>
      <c r="K361" s="77"/>
      <c r="L361" s="93"/>
      <c r="M361" s="93"/>
      <c r="N361" s="78"/>
      <c r="O361" s="40"/>
      <c r="P361" s="64" t="s">
        <v>317</v>
      </c>
    </row>
    <row r="362" spans="1:16" ht="26.5" thickBot="1" x14ac:dyDescent="0.35">
      <c r="A362" s="153"/>
      <c r="B362" s="249"/>
      <c r="C362" s="210" t="s">
        <v>263</v>
      </c>
      <c r="D362" s="181" t="s">
        <v>1</v>
      </c>
      <c r="E362" s="182" t="s">
        <v>244</v>
      </c>
      <c r="F362" s="180" t="s">
        <v>243</v>
      </c>
      <c r="G362" s="183" t="s">
        <v>229</v>
      </c>
      <c r="H362" s="183" t="s">
        <v>222</v>
      </c>
      <c r="I362" s="183" t="s">
        <v>230</v>
      </c>
      <c r="J362" s="202" t="s">
        <v>262</v>
      </c>
      <c r="K362" s="184" t="s">
        <v>231</v>
      </c>
      <c r="L362" s="183" t="s">
        <v>238</v>
      </c>
      <c r="M362" s="183" t="s">
        <v>259</v>
      </c>
      <c r="N362" s="349" t="s">
        <v>249</v>
      </c>
      <c r="O362" s="40"/>
      <c r="P362" s="64" t="s">
        <v>321</v>
      </c>
    </row>
    <row r="363" spans="1:16" x14ac:dyDescent="0.3">
      <c r="A363" s="153"/>
      <c r="B363" s="95">
        <v>45992</v>
      </c>
      <c r="C363" s="97">
        <f>'Annual Expenditure'!C448</f>
        <v>45992</v>
      </c>
      <c r="D363" s="97" t="str">
        <f>'Annual Expenditure'!D448</f>
        <v>2025-26/097</v>
      </c>
      <c r="E363" s="354">
        <f>'Annual Expenditure'!E448</f>
        <v>157.19999999999999</v>
      </c>
      <c r="F363" s="97" t="str">
        <f>'Annual Expenditure'!F448</f>
        <v>Tesco Mobile - TCC mobile charges, 14/11/25 to 13/12/25</v>
      </c>
      <c r="G363" s="167">
        <f>'Annual Expenditure'!G448</f>
        <v>8</v>
      </c>
      <c r="H363" s="167">
        <f>'Annual Expenditure'!H448</f>
        <v>0</v>
      </c>
      <c r="I363" s="167">
        <f>'Annual Expenditure'!I448</f>
        <v>8</v>
      </c>
      <c r="J363" s="97" t="str">
        <f>'Annual Expenditure'!J448</f>
        <v>Direct Debit</v>
      </c>
      <c r="K363" s="97">
        <f>'Annual Expenditure'!K448</f>
        <v>45992</v>
      </c>
      <c r="L363" s="193">
        <f>'Annual Expenditure'!L448</f>
        <v>6</v>
      </c>
      <c r="M363" s="274"/>
      <c r="N363" s="211">
        <f>'Annual Expenditure'!N448</f>
        <v>0.46711428571428576</v>
      </c>
      <c r="O363" s="40"/>
      <c r="P363" s="281" t="s">
        <v>261</v>
      </c>
    </row>
    <row r="364" spans="1:16" ht="13.5" thickBot="1" x14ac:dyDescent="0.35">
      <c r="A364" s="153"/>
      <c r="B364" s="32"/>
      <c r="C364" s="97">
        <f>'Annual Expenditure'!C449</f>
        <v>45995</v>
      </c>
      <c r="D364" s="97" t="str">
        <f>'Annual Expenditure'!D449</f>
        <v>2025-26/098</v>
      </c>
      <c r="E364" s="354">
        <f>'Annual Expenditure'!E449</f>
        <v>157.19999999999999</v>
      </c>
      <c r="F364" s="97" t="str">
        <f>'Annual Expenditure'!F449</f>
        <v>BT plc - V/Hall Wi-fi, November charges</v>
      </c>
      <c r="G364" s="167">
        <f>'Annual Expenditure'!G449</f>
        <v>32.950000000000003</v>
      </c>
      <c r="H364" s="167">
        <f>'Annual Expenditure'!H449</f>
        <v>6.59</v>
      </c>
      <c r="I364" s="167">
        <f>'Annual Expenditure'!I449</f>
        <v>39.540000000000006</v>
      </c>
      <c r="J364" s="97" t="str">
        <f>'Annual Expenditure'!J449</f>
        <v>Direct Debit</v>
      </c>
      <c r="K364" s="97">
        <f>'Annual Expenditure'!K449</f>
        <v>45995</v>
      </c>
      <c r="L364" s="193">
        <f>'Annual Expenditure'!L449</f>
        <v>22</v>
      </c>
      <c r="M364" s="28"/>
      <c r="N364" s="211">
        <f>'Annual Expenditure'!N449</f>
        <v>0.53649600000000008</v>
      </c>
      <c r="O364" s="40"/>
      <c r="P364" s="65" t="s">
        <v>318</v>
      </c>
    </row>
    <row r="365" spans="1:16" x14ac:dyDescent="0.3">
      <c r="A365" s="153"/>
      <c r="B365" s="32"/>
      <c r="C365" s="97">
        <f>'Annual Expenditure'!C450</f>
        <v>46003</v>
      </c>
      <c r="D365" s="97" t="str">
        <f>'Annual Expenditure'!D450</f>
        <v>2025-26/099</v>
      </c>
      <c r="E365" s="354">
        <f>'Annual Expenditure'!E450</f>
        <v>157.19999999999999</v>
      </c>
      <c r="F365" s="97" t="str">
        <f>'Annual Expenditure'!F450</f>
        <v>Edwards Woodland Services Ltd - Tree safety works, Gower Rd</v>
      </c>
      <c r="G365" s="167">
        <f>'Annual Expenditure'!G450</f>
        <v>4000</v>
      </c>
      <c r="H365" s="167">
        <f>'Annual Expenditure'!H450</f>
        <v>800</v>
      </c>
      <c r="I365" s="167">
        <f>'Annual Expenditure'!I450</f>
        <v>4800</v>
      </c>
      <c r="J365" s="97" t="str">
        <f>'Annual Expenditure'!J450</f>
        <v>Bank Transfer</v>
      </c>
      <c r="K365" s="97">
        <f>'Annual Expenditure'!K450</f>
        <v>46003</v>
      </c>
      <c r="L365" s="193">
        <f>'Annual Expenditure'!L450</f>
        <v>30</v>
      </c>
      <c r="M365" s="43"/>
      <c r="N365" s="391">
        <f>'Annual Expenditure'!N450</f>
        <v>0.81967213114754101</v>
      </c>
      <c r="O365" s="40"/>
      <c r="P365" s="160"/>
    </row>
    <row r="366" spans="1:16" x14ac:dyDescent="0.3">
      <c r="A366" s="153"/>
      <c r="B366" s="32"/>
      <c r="C366" s="97">
        <f>'Annual Expenditure'!C451</f>
        <v>46002</v>
      </c>
      <c r="D366" s="97" t="str">
        <f>'Annual Expenditure'!D451</f>
        <v>2025-26/100</v>
      </c>
      <c r="E366" s="354">
        <f>'Annual Expenditure'!E451</f>
        <v>157.19999999999999</v>
      </c>
      <c r="F366" s="97" t="str">
        <f>'Annual Expenditure'!F451</f>
        <v>Soft Octopus - 50 x A2 copies of cemetery plan</v>
      </c>
      <c r="G366" s="167">
        <f>'Annual Expenditure'!G451</f>
        <v>50</v>
      </c>
      <c r="H366" s="167">
        <f>'Annual Expenditure'!H451</f>
        <v>0</v>
      </c>
      <c r="I366" s="167">
        <f>'Annual Expenditure'!I451</f>
        <v>50</v>
      </c>
      <c r="J366" s="97" t="str">
        <f>'Annual Expenditure'!J451</f>
        <v>Bank Transfer</v>
      </c>
      <c r="K366" s="97">
        <f>'Annual Expenditure'!K451</f>
        <v>46002</v>
      </c>
      <c r="L366" s="193">
        <f>'Annual Expenditure'!L451</f>
        <v>18</v>
      </c>
      <c r="M366" s="43"/>
      <c r="N366" s="211">
        <f>'Annual Expenditure'!N451</f>
        <v>8.775008775008775E-3</v>
      </c>
      <c r="O366" s="40"/>
      <c r="P366" s="160"/>
    </row>
    <row r="367" spans="1:16" x14ac:dyDescent="0.3">
      <c r="A367" s="153"/>
      <c r="B367" s="32"/>
      <c r="C367" s="97">
        <f>'Annual Expenditure'!C452</f>
        <v>46002</v>
      </c>
      <c r="D367" s="97" t="str">
        <f>'Annual Expenditure'!D452</f>
        <v>2025-26/101</v>
      </c>
      <c r="E367" s="354">
        <f>'Annual Expenditure'!E452</f>
        <v>157.19999999999999</v>
      </c>
      <c r="F367" s="97" t="str">
        <f>'Annual Expenditure'!F452</f>
        <v>OVO Energy Ltd - VH electricity, fixed monthly payment</v>
      </c>
      <c r="G367" s="167">
        <f>'Annual Expenditure'!G452</f>
        <v>65</v>
      </c>
      <c r="H367" s="167">
        <f>'Annual Expenditure'!H452</f>
        <v>0</v>
      </c>
      <c r="I367" s="167">
        <f>'Annual Expenditure'!I452</f>
        <v>65</v>
      </c>
      <c r="J367" s="97" t="str">
        <f>'Annual Expenditure'!J452</f>
        <v>Direct Debit</v>
      </c>
      <c r="K367" s="97">
        <f>'Annual Expenditure'!K452</f>
        <v>46020</v>
      </c>
      <c r="L367" s="193">
        <f>'Annual Expenditure'!L452</f>
        <v>22</v>
      </c>
      <c r="M367" s="43"/>
      <c r="N367" s="211">
        <f>'Annual Expenditure'!N452</f>
        <v>0.56249600000000011</v>
      </c>
      <c r="O367" s="40"/>
      <c r="P367" s="160"/>
    </row>
    <row r="368" spans="1:16" x14ac:dyDescent="0.3">
      <c r="A368" s="153"/>
      <c r="B368" s="32"/>
      <c r="C368" s="97">
        <f>'Annual Expenditure'!C453</f>
        <v>46020</v>
      </c>
      <c r="D368" s="97" t="str">
        <f>'Annual Expenditure'!D453</f>
        <v>2025-26/102</v>
      </c>
      <c r="E368" s="354">
        <f>'Annual Expenditure'!E453</f>
        <v>157.19999999999999</v>
      </c>
      <c r="F368" s="97" t="str">
        <f>'Annual Expenditure'!F453</f>
        <v>Clerk’s Salary for December</v>
      </c>
      <c r="G368" s="167">
        <f>'Annual Expenditure'!G453</f>
        <v>1014.94</v>
      </c>
      <c r="H368" s="167">
        <f>'Annual Expenditure'!H453</f>
        <v>0</v>
      </c>
      <c r="I368" s="167">
        <f>'Annual Expenditure'!I453</f>
        <v>1014.94</v>
      </c>
      <c r="J368" s="97" t="str">
        <f>'Annual Expenditure'!J453</f>
        <v>S/Order</v>
      </c>
      <c r="K368" s="97">
        <f>'Annual Expenditure'!K453</f>
        <v>46020</v>
      </c>
      <c r="L368" s="193">
        <f>'Annual Expenditure'!L453</f>
        <v>1</v>
      </c>
      <c r="M368" s="43"/>
      <c r="N368" s="211">
        <f>'Annual Expenditure'!N453</f>
        <v>0.71428537915664791</v>
      </c>
      <c r="O368" s="40"/>
      <c r="P368" s="160"/>
    </row>
    <row r="369" spans="1:16" x14ac:dyDescent="0.3">
      <c r="A369" s="153"/>
      <c r="B369" s="32"/>
      <c r="C369" s="97">
        <f>'Annual Expenditure'!C454</f>
        <v>46020</v>
      </c>
      <c r="D369" s="97" t="str">
        <f>'Annual Expenditure'!D454</f>
        <v>2025-26/103</v>
      </c>
      <c r="E369" s="354">
        <f>'Annual Expenditure'!E454</f>
        <v>157.19999999999999</v>
      </c>
      <c r="F369" s="97" t="str">
        <f>'Annual Expenditure'!F454</f>
        <v>Clerk’s Office Allowance (WFH)</v>
      </c>
      <c r="G369" s="167">
        <f>'Annual Expenditure'!G454</f>
        <v>26</v>
      </c>
      <c r="H369" s="167">
        <f>'Annual Expenditure'!H454</f>
        <v>0</v>
      </c>
      <c r="I369" s="167">
        <f>'Annual Expenditure'!I454</f>
        <v>26</v>
      </c>
      <c r="J369" s="97" t="str">
        <f>'Annual Expenditure'!J454</f>
        <v>S/Order</v>
      </c>
      <c r="K369" s="97">
        <f>'Annual Expenditure'!K454</f>
        <v>46020</v>
      </c>
      <c r="L369" s="193">
        <f>'Annual Expenditure'!L454</f>
        <v>3</v>
      </c>
      <c r="M369" s="43"/>
      <c r="N369" s="391">
        <f>'Annual Expenditure'!N454</f>
        <v>0.75</v>
      </c>
      <c r="O369" s="40"/>
      <c r="P369" s="160"/>
    </row>
    <row r="370" spans="1:16" x14ac:dyDescent="0.3">
      <c r="A370" s="153"/>
      <c r="B370" s="32"/>
      <c r="C370" s="97">
        <f>'Annual Expenditure'!C455</f>
        <v>46002</v>
      </c>
      <c r="D370" s="97" t="str">
        <f>'Annual Expenditure'!D455</f>
        <v>2025-26/104</v>
      </c>
      <c r="E370" s="354">
        <f>'Annual Expenditure'!E455</f>
        <v>157.19999999999999</v>
      </c>
      <c r="F370" s="97" t="str">
        <f>'Annual Expenditure'!F455</f>
        <v>Cyfieithu Cymunedol Cyf - Translation of Section 6 Report</v>
      </c>
      <c r="G370" s="167">
        <f>'Annual Expenditure'!G455</f>
        <v>57.38</v>
      </c>
      <c r="H370" s="167">
        <f>'Annual Expenditure'!H455</f>
        <v>11.47</v>
      </c>
      <c r="I370" s="167">
        <f>'Annual Expenditure'!I455</f>
        <v>68.850000000000009</v>
      </c>
      <c r="J370" s="97" t="str">
        <f>'Annual Expenditure'!J455</f>
        <v>Bank Transfer</v>
      </c>
      <c r="K370" s="97">
        <f>'Annual Expenditure'!K455</f>
        <v>46002</v>
      </c>
      <c r="L370" s="193">
        <f>'Annual Expenditure'!L455</f>
        <v>8</v>
      </c>
      <c r="M370" s="43"/>
      <c r="N370" s="211">
        <f>'Annual Expenditure'!N455</f>
        <v>0.69393181818181826</v>
      </c>
      <c r="O370" s="40"/>
      <c r="P370" s="160"/>
    </row>
    <row r="371" spans="1:16" x14ac:dyDescent="0.3">
      <c r="A371" s="153"/>
      <c r="B371" s="32"/>
      <c r="C371" s="97">
        <f>'Annual Expenditure'!C456</f>
        <v>46002</v>
      </c>
      <c r="D371" s="97" t="str">
        <f>'Annual Expenditure'!D456</f>
        <v>2025-26/105</v>
      </c>
      <c r="E371" s="354">
        <f>'Annual Expenditure'!E456</f>
        <v>157.5</v>
      </c>
      <c r="F371" s="97" t="str">
        <f>'Annual Expenditure'!F456</f>
        <v>Zurich Municipal - Insurance renewal 05/01/2025</v>
      </c>
      <c r="G371" s="167">
        <f>'Annual Expenditure'!G456</f>
        <v>1076.49</v>
      </c>
      <c r="H371" s="167">
        <f>'Annual Expenditure'!H456</f>
        <v>0</v>
      </c>
      <c r="I371" s="167">
        <f>'Annual Expenditure'!I456</f>
        <v>1076.49</v>
      </c>
      <c r="J371" s="97" t="str">
        <f>'Annual Expenditure'!J456</f>
        <v>Bank Transfer</v>
      </c>
      <c r="K371" s="97">
        <f>'Annual Expenditure'!K456</f>
        <v>46002</v>
      </c>
      <c r="L371" s="193">
        <f>'Annual Expenditure'!L456</f>
        <v>11</v>
      </c>
      <c r="M371" s="43"/>
      <c r="N371" s="391">
        <f>'Annual Expenditure'!N456</f>
        <v>0.94844933920704844</v>
      </c>
      <c r="O371" s="40"/>
      <c r="P371" s="160"/>
    </row>
    <row r="372" spans="1:16" ht="13.5" thickBot="1" x14ac:dyDescent="0.35">
      <c r="B372" s="34"/>
      <c r="C372" s="68"/>
      <c r="D372" s="60"/>
      <c r="E372" s="122"/>
      <c r="F372" s="35"/>
      <c r="G372" s="230">
        <f>'Annual Expenditure'!G457</f>
        <v>6330.7599999999993</v>
      </c>
      <c r="H372" s="230">
        <f>'Annual Expenditure'!H457</f>
        <v>818.06000000000006</v>
      </c>
      <c r="I372" s="230">
        <f>'Annual Expenditure'!I457</f>
        <v>7148.82</v>
      </c>
      <c r="J372" s="69"/>
      <c r="K372" s="68"/>
      <c r="L372" s="61"/>
      <c r="M372" s="61"/>
      <c r="N372" s="62"/>
    </row>
    <row r="373" spans="1:16" ht="13.5" thickBot="1" x14ac:dyDescent="0.35"/>
    <row r="374" spans="1:16" x14ac:dyDescent="0.3">
      <c r="F374" s="100" t="s">
        <v>254</v>
      </c>
    </row>
    <row r="375" spans="1:16" x14ac:dyDescent="0.3">
      <c r="F375" s="101" t="s">
        <v>251</v>
      </c>
    </row>
    <row r="376" spans="1:16" ht="14.5" x14ac:dyDescent="0.35">
      <c r="F376" s="99" t="s">
        <v>252</v>
      </c>
    </row>
    <row r="377" spans="1:16" ht="15" thickBot="1" x14ac:dyDescent="0.4">
      <c r="F377" s="270" t="s">
        <v>253</v>
      </c>
    </row>
    <row r="402" spans="3:15" x14ac:dyDescent="0.3">
      <c r="O402" s="40"/>
    </row>
    <row r="403" spans="3:15" x14ac:dyDescent="0.3">
      <c r="O403" s="40"/>
    </row>
    <row r="404" spans="3:15" x14ac:dyDescent="0.3">
      <c r="O404" s="40"/>
    </row>
    <row r="405" spans="3:15" x14ac:dyDescent="0.3">
      <c r="O405" s="40"/>
    </row>
    <row r="406" spans="3:15" x14ac:dyDescent="0.3">
      <c r="O406" s="40"/>
    </row>
    <row r="407" spans="3:15" x14ac:dyDescent="0.3">
      <c r="O407" s="40"/>
    </row>
    <row r="408" spans="3:15" x14ac:dyDescent="0.3">
      <c r="O408" s="40"/>
    </row>
    <row r="409" spans="3:15" x14ac:dyDescent="0.3">
      <c r="C409" s="1"/>
      <c r="I409" s="26"/>
      <c r="L409" s="7"/>
      <c r="M409" s="7"/>
      <c r="N409" s="40"/>
      <c r="O409" s="40"/>
    </row>
    <row r="410" spans="3:15" x14ac:dyDescent="0.3">
      <c r="C410" s="1"/>
      <c r="I410" s="26"/>
      <c r="L410" s="7"/>
      <c r="M410" s="7"/>
      <c r="N410" s="40"/>
      <c r="O410" s="40"/>
    </row>
    <row r="411" spans="3:15" x14ac:dyDescent="0.3">
      <c r="C411" s="1"/>
      <c r="I411" s="26"/>
      <c r="L411" s="7"/>
      <c r="M411" s="7"/>
      <c r="N411" s="40"/>
      <c r="O411" s="40"/>
    </row>
    <row r="412" spans="3:15" x14ac:dyDescent="0.3">
      <c r="F412" s="11"/>
      <c r="I412" s="7"/>
      <c r="J412" s="1"/>
      <c r="K412"/>
      <c r="O412" s="40"/>
    </row>
    <row r="413" spans="3:15" x14ac:dyDescent="0.3">
      <c r="F413" s="11"/>
      <c r="I413" s="7"/>
      <c r="J413" s="1"/>
      <c r="K413"/>
      <c r="O413" s="40"/>
    </row>
    <row r="414" spans="3:15" x14ac:dyDescent="0.3">
      <c r="F414" s="11"/>
      <c r="I414" s="7"/>
      <c r="J414" s="1"/>
      <c r="K414"/>
      <c r="O414" s="40"/>
    </row>
    <row r="415" spans="3:15" x14ac:dyDescent="0.3">
      <c r="F415" s="11"/>
      <c r="I415" s="7"/>
      <c r="J415" s="1"/>
      <c r="K415"/>
      <c r="O415" s="40"/>
    </row>
    <row r="416" spans="3:15" x14ac:dyDescent="0.3">
      <c r="F416" s="11"/>
      <c r="I416" s="7"/>
      <c r="J416" s="1"/>
      <c r="K416"/>
    </row>
    <row r="417" spans="6:11" x14ac:dyDescent="0.3">
      <c r="F417" s="11"/>
      <c r="I417" s="7"/>
      <c r="J417" s="1"/>
      <c r="K417"/>
    </row>
    <row r="418" spans="6:11" x14ac:dyDescent="0.3">
      <c r="F418" s="11"/>
      <c r="I418" s="7"/>
      <c r="J418" s="1"/>
      <c r="K418"/>
    </row>
    <row r="419" spans="6:11" x14ac:dyDescent="0.3">
      <c r="F419" s="11"/>
      <c r="I419" s="7"/>
      <c r="J419" s="1"/>
      <c r="K419"/>
    </row>
    <row r="420" spans="6:11" x14ac:dyDescent="0.3">
      <c r="F420" s="11"/>
      <c r="I420" s="7"/>
      <c r="J420" s="1"/>
      <c r="K420"/>
    </row>
    <row r="421" spans="6:11" x14ac:dyDescent="0.3">
      <c r="F421" s="11"/>
      <c r="I421" s="7"/>
      <c r="J421" s="1"/>
      <c r="K421"/>
    </row>
    <row r="422" spans="6:11" x14ac:dyDescent="0.3">
      <c r="F422" s="11"/>
      <c r="I422" s="7"/>
      <c r="J422" s="1"/>
      <c r="K422"/>
    </row>
    <row r="423" spans="6:11" x14ac:dyDescent="0.3">
      <c r="F423" s="11"/>
      <c r="I423" s="7"/>
      <c r="J423" s="1"/>
      <c r="K423"/>
    </row>
    <row r="424" spans="6:11" ht="13.5" thickBot="1" x14ac:dyDescent="0.35">
      <c r="F424" s="11"/>
      <c r="I424" s="7"/>
      <c r="J424" s="1"/>
      <c r="K424"/>
    </row>
    <row r="425" spans="6:11" ht="13.5" thickBot="1" x14ac:dyDescent="0.35">
      <c r="F425" s="11"/>
      <c r="G425" s="187">
        <v>698.7</v>
      </c>
      <c r="I425" s="7"/>
      <c r="J425" s="1"/>
      <c r="K425"/>
    </row>
    <row r="426" spans="6:11" ht="13.5" thickBot="1" x14ac:dyDescent="0.35">
      <c r="F426" s="11"/>
      <c r="G426" s="188">
        <v>35</v>
      </c>
      <c r="I426" s="7"/>
      <c r="J426" s="1"/>
      <c r="K426"/>
    </row>
    <row r="427" spans="6:11" ht="13.5" thickBot="1" x14ac:dyDescent="0.35">
      <c r="F427" s="11"/>
      <c r="G427" s="188">
        <v>131.58000000000001</v>
      </c>
      <c r="I427" s="7"/>
      <c r="J427" s="1"/>
      <c r="K427"/>
    </row>
    <row r="428" spans="6:11" ht="13.5" thickBot="1" x14ac:dyDescent="0.35">
      <c r="F428" s="11"/>
      <c r="G428" s="188">
        <v>103.81</v>
      </c>
      <c r="I428" s="7"/>
      <c r="J428" s="1"/>
      <c r="K428"/>
    </row>
    <row r="429" spans="6:11" ht="13.5" thickBot="1" x14ac:dyDescent="0.35">
      <c r="F429" s="11"/>
      <c r="G429" s="188">
        <v>270</v>
      </c>
      <c r="I429" s="7"/>
      <c r="J429" s="1"/>
      <c r="K429"/>
    </row>
    <row r="430" spans="6:11" ht="13.5" thickBot="1" x14ac:dyDescent="0.35">
      <c r="F430" s="11"/>
      <c r="G430" s="188">
        <v>185</v>
      </c>
      <c r="I430" s="7"/>
      <c r="J430" s="1"/>
      <c r="K430"/>
    </row>
    <row r="431" spans="6:11" ht="13.5" thickBot="1" x14ac:dyDescent="0.35">
      <c r="G431" s="188">
        <v>672</v>
      </c>
    </row>
    <row r="432" spans="6:11" ht="13.5" thickBot="1" x14ac:dyDescent="0.35">
      <c r="G432" s="188">
        <v>13.39</v>
      </c>
    </row>
    <row r="433" spans="7:7" ht="13.5" thickBot="1" x14ac:dyDescent="0.35">
      <c r="G433" s="188">
        <v>1200</v>
      </c>
    </row>
    <row r="434" spans="7:7" ht="13.5" thickBot="1" x14ac:dyDescent="0.35">
      <c r="G434" s="188">
        <v>54</v>
      </c>
    </row>
    <row r="435" spans="7:7" ht="13.5" thickBot="1" x14ac:dyDescent="0.35">
      <c r="G435" s="188">
        <v>288</v>
      </c>
    </row>
    <row r="436" spans="7:7" ht="13.5" thickBot="1" x14ac:dyDescent="0.35">
      <c r="G436" s="188">
        <v>200</v>
      </c>
    </row>
    <row r="437" spans="7:7" x14ac:dyDescent="0.3">
      <c r="G437" s="11">
        <f>SUM(G425:G436)</f>
        <v>3851.48</v>
      </c>
    </row>
  </sheetData>
  <conditionalFormatting sqref="N1:N335 N347:N348 N361:N362 N372 N409:N1048576">
    <cfRule type="containsText" priority="1" operator="containsText" text="N/A">
      <formula>NOT(ISERROR(SEARCH("N/A",N1)))</formula>
    </cfRule>
    <cfRule type="cellIs" dxfId="31" priority="2" operator="equal">
      <formula>1</formula>
    </cfRule>
    <cfRule type="cellIs" dxfId="30" priority="3" operator="between">
      <formula>0.75</formula>
      <formula>0.99</formula>
    </cfRule>
    <cfRule type="cellIs" dxfId="29" priority="4" stopIfTrue="1" operator="greaterThan">
      <formula>1</formula>
    </cfRule>
    <cfRule type="cellIs" dxfId="28" priority="5" stopIfTrue="1" operator="equal">
      <formula>1</formula>
    </cfRule>
  </conditionalFormatting>
  <conditionalFormatting sqref="N334:N335 N347:N348 N361:N362 N372">
    <cfRule type="cellIs" dxfId="27" priority="7" stopIfTrue="1" operator="greaterThan">
      <formula>1</formula>
    </cfRule>
  </conditionalFormatting>
  <conditionalFormatting sqref="N335 N347:N348 N361:N362 N372">
    <cfRule type="cellIs" dxfId="26" priority="6" stopIfTrue="1" operator="between">
      <formula>0.75</formula>
      <formula>0.99</formula>
    </cfRule>
  </conditionalFormatting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78C8-114F-4219-93D6-CEAF9C0A1944}">
  <sheetPr>
    <tabColor theme="9" tint="0.39997558519241921"/>
    <pageSetUpPr fitToPage="1"/>
  </sheetPr>
  <dimension ref="B1:Q50"/>
  <sheetViews>
    <sheetView zoomScale="98" zoomScaleNormal="98" workbookViewId="0">
      <selection activeCell="L1" sqref="L1"/>
    </sheetView>
  </sheetViews>
  <sheetFormatPr defaultRowHeight="13" x14ac:dyDescent="0.3"/>
  <cols>
    <col min="1" max="1" width="2.88671875" customWidth="1"/>
    <col min="2" max="2" width="7.109375" customWidth="1"/>
    <col min="3" max="3" width="10.5546875" bestFit="1" customWidth="1"/>
    <col min="4" max="4" width="11.88671875" bestFit="1" customWidth="1"/>
    <col min="5" max="5" width="9.88671875" bestFit="1" customWidth="1"/>
    <col min="6" max="6" width="57.109375" bestFit="1" customWidth="1"/>
    <col min="7" max="8" width="10.109375" bestFit="1" customWidth="1"/>
    <col min="9" max="9" width="8.44140625" bestFit="1" customWidth="1"/>
    <col min="10" max="10" width="14" bestFit="1" customWidth="1"/>
    <col min="11" max="11" width="10.5546875" bestFit="1" customWidth="1"/>
    <col min="12" max="12" width="12.44140625" customWidth="1"/>
    <col min="13" max="13" width="11.5546875" customWidth="1"/>
    <col min="14" max="14" width="14.44140625" customWidth="1"/>
    <col min="15" max="15" width="6.44140625" customWidth="1"/>
    <col min="16" max="16" width="2.5546875" customWidth="1"/>
    <col min="17" max="17" width="78.21875" customWidth="1"/>
    <col min="18" max="18" width="8.6640625" customWidth="1"/>
    <col min="19" max="19" width="10.44140625" customWidth="1"/>
    <col min="20" max="20" width="15" bestFit="1" customWidth="1"/>
  </cols>
  <sheetData>
    <row r="1" spans="2:17" ht="39" x14ac:dyDescent="0.3">
      <c r="F1" s="48" t="s">
        <v>325</v>
      </c>
    </row>
    <row r="2" spans="2:17" ht="13.5" thickBot="1" x14ac:dyDescent="0.35">
      <c r="F2" s="48"/>
    </row>
    <row r="3" spans="2:17" ht="26.5" thickBot="1" x14ac:dyDescent="0.35">
      <c r="B3" s="209"/>
      <c r="C3" s="207" t="s">
        <v>263</v>
      </c>
      <c r="D3" s="206" t="s">
        <v>1</v>
      </c>
      <c r="E3" s="182" t="s">
        <v>244</v>
      </c>
      <c r="F3" s="180" t="s">
        <v>243</v>
      </c>
      <c r="G3" s="183" t="s">
        <v>229</v>
      </c>
      <c r="H3" s="183" t="s">
        <v>222</v>
      </c>
      <c r="I3" s="183" t="s">
        <v>230</v>
      </c>
      <c r="J3" s="202" t="s">
        <v>262</v>
      </c>
      <c r="K3" s="184" t="s">
        <v>231</v>
      </c>
      <c r="L3" s="183" t="s">
        <v>238</v>
      </c>
      <c r="M3" s="185" t="s">
        <v>259</v>
      </c>
      <c r="N3" s="349" t="s">
        <v>249</v>
      </c>
      <c r="O3" s="40"/>
      <c r="Q3" s="158" t="s">
        <v>301</v>
      </c>
    </row>
    <row r="4" spans="2:17" x14ac:dyDescent="0.3">
      <c r="B4" s="95">
        <v>46023</v>
      </c>
      <c r="C4" s="394">
        <f>'Annual Expenditure'!C459</f>
        <v>46024</v>
      </c>
      <c r="D4" s="97" t="str">
        <f>'Annual Expenditure'!D459</f>
        <v>2025-26/106</v>
      </c>
      <c r="E4" s="97"/>
      <c r="F4" s="97" t="str">
        <f>'Annual Expenditure'!F459</f>
        <v>Tesco Mobile - TCC mobile charges, 14/12/25 to 13/01/26</v>
      </c>
      <c r="G4" s="167">
        <f>'Annual Expenditure'!G459</f>
        <v>8</v>
      </c>
      <c r="H4" s="167">
        <f>'Annual Expenditure'!H459</f>
        <v>0</v>
      </c>
      <c r="I4" s="167">
        <f>'Annual Expenditure'!I459</f>
        <v>8</v>
      </c>
      <c r="J4" s="97" t="str">
        <f>'Annual Expenditure'!J459</f>
        <v>Direct Debit</v>
      </c>
      <c r="K4" s="97"/>
      <c r="L4" s="193">
        <f>'Annual Expenditure'!L459</f>
        <v>6</v>
      </c>
      <c r="M4" s="97"/>
      <c r="N4" s="211">
        <f>'Annual Expenditure'!N459</f>
        <v>0.48997142857142861</v>
      </c>
      <c r="O4" s="40"/>
      <c r="Q4" s="64" t="s">
        <v>302</v>
      </c>
    </row>
    <row r="5" spans="2:17" x14ac:dyDescent="0.3">
      <c r="B5" s="32"/>
      <c r="C5" s="394">
        <f>'Annual Expenditure'!C460</f>
        <v>46026</v>
      </c>
      <c r="D5" s="97" t="str">
        <f>'Annual Expenditure'!D460</f>
        <v>2025-26/107</v>
      </c>
      <c r="E5" s="299"/>
      <c r="F5" s="97" t="str">
        <f>'Annual Expenditure'!F460</f>
        <v>BT plc - V/Hall Wi-fi, December charges</v>
      </c>
      <c r="G5" s="167">
        <f>'Annual Expenditure'!G460</f>
        <v>32.950000000000003</v>
      </c>
      <c r="H5" s="167">
        <f>'Annual Expenditure'!H460</f>
        <v>6.59</v>
      </c>
      <c r="I5" s="167">
        <f>'Annual Expenditure'!I460</f>
        <v>39.540000000000006</v>
      </c>
      <c r="J5" s="97" t="str">
        <f>'Annual Expenditure'!J460</f>
        <v>Direct Debit</v>
      </c>
      <c r="K5" s="300"/>
      <c r="L5" s="193">
        <f>'Annual Expenditure'!L460</f>
        <v>22</v>
      </c>
      <c r="M5" s="316"/>
      <c r="N5" s="211">
        <f>'Annual Expenditure'!N460</f>
        <v>0.57567600000000008</v>
      </c>
      <c r="O5" s="40"/>
      <c r="Q5" s="64" t="s">
        <v>319</v>
      </c>
    </row>
    <row r="6" spans="2:17" x14ac:dyDescent="0.3">
      <c r="B6" s="32"/>
      <c r="C6" s="394">
        <f>'Annual Expenditure'!C461</f>
        <v>46029</v>
      </c>
      <c r="D6" s="97" t="str">
        <f>'Annual Expenditure'!D461</f>
        <v>2025-26/108</v>
      </c>
      <c r="E6" s="322"/>
      <c r="F6" s="97" t="str">
        <f>'Annual Expenditure'!F461</f>
        <v>Amazon - VH sundries, 24 x glass tumblers</v>
      </c>
      <c r="G6" s="167">
        <f>'Annual Expenditure'!G461</f>
        <v>24.16</v>
      </c>
      <c r="H6" s="167">
        <f>'Annual Expenditure'!H461</f>
        <v>4.83</v>
      </c>
      <c r="I6" s="167">
        <f>'Annual Expenditure'!I461</f>
        <v>28.990000000000002</v>
      </c>
      <c r="J6" s="97" t="str">
        <f>'Annual Expenditure'!J461</f>
        <v>Debit Card</v>
      </c>
      <c r="K6" s="28"/>
      <c r="L6" s="193">
        <f>'Annual Expenditure'!L461</f>
        <v>22</v>
      </c>
      <c r="M6" s="273"/>
      <c r="N6" s="211">
        <f>'Annual Expenditure'!N461</f>
        <v>0.58534000000000019</v>
      </c>
      <c r="O6" s="67"/>
      <c r="Q6" s="64" t="s">
        <v>256</v>
      </c>
    </row>
    <row r="7" spans="2:17" x14ac:dyDescent="0.3">
      <c r="B7" s="32"/>
      <c r="C7" s="394">
        <f>'Annual Expenditure'!C462</f>
        <v>46043</v>
      </c>
      <c r="D7" s="97" t="str">
        <f>'Annual Expenditure'!D462</f>
        <v>2025-26/109</v>
      </c>
      <c r="E7" s="322"/>
      <c r="F7" s="97" t="str">
        <f>'Annual Expenditure'!F462</f>
        <v>HSBC - Bank Charge, cheque clearance and cash deposit</v>
      </c>
      <c r="G7" s="167">
        <f>'Annual Expenditure'!G462</f>
        <v>1</v>
      </c>
      <c r="H7" s="167">
        <f>'Annual Expenditure'!H462</f>
        <v>0</v>
      </c>
      <c r="I7" s="167">
        <f>'Annual Expenditure'!I462</f>
        <v>1</v>
      </c>
      <c r="J7" s="97" t="str">
        <f>'Annual Expenditure'!J462</f>
        <v>Direct Payment</v>
      </c>
      <c r="K7" s="97"/>
      <c r="L7" s="193">
        <f>'Annual Expenditure'!L462</f>
        <v>34</v>
      </c>
      <c r="M7" s="273"/>
      <c r="N7" s="211">
        <f>'Annual Expenditure'!N462</f>
        <v>0.27</v>
      </c>
      <c r="O7" s="40"/>
      <c r="Q7" s="64" t="s">
        <v>257</v>
      </c>
    </row>
    <row r="8" spans="2:17" x14ac:dyDescent="0.3">
      <c r="B8" s="32"/>
      <c r="C8" s="394">
        <f>'Annual Expenditure'!C463</f>
        <v>45678</v>
      </c>
      <c r="D8" s="97" t="str">
        <f>'Annual Expenditure'!D463</f>
        <v>2025-26/110</v>
      </c>
      <c r="E8" s="123"/>
      <c r="F8" s="97" t="str">
        <f>'Annual Expenditure'!F463</f>
        <v>Dŵr Cymru - VH usage 01/07/2025 to 24/12/25</v>
      </c>
      <c r="G8" s="167">
        <f>'Annual Expenditure'!G463</f>
        <v>116.06</v>
      </c>
      <c r="H8" s="167">
        <f>'Annual Expenditure'!H463</f>
        <v>0</v>
      </c>
      <c r="I8" s="167">
        <f>'Annual Expenditure'!I463</f>
        <v>116.06</v>
      </c>
      <c r="J8" s="97" t="str">
        <f>'Annual Expenditure'!J463</f>
        <v>Bank Transfer</v>
      </c>
      <c r="K8" s="97"/>
      <c r="L8" s="193">
        <f>'Annual Expenditure'!L463</f>
        <v>22</v>
      </c>
      <c r="M8" s="273"/>
      <c r="N8" s="211">
        <f>'Annual Expenditure'!N463</f>
        <v>0.6317640000000001</v>
      </c>
      <c r="O8" s="40"/>
      <c r="Q8" s="64" t="s">
        <v>266</v>
      </c>
    </row>
    <row r="9" spans="2:17" x14ac:dyDescent="0.3">
      <c r="B9" s="31"/>
      <c r="C9" s="394">
        <f>'Annual Expenditure'!C464</f>
        <v>46043</v>
      </c>
      <c r="D9" s="97" t="str">
        <f>'Annual Expenditure'!D464</f>
        <v>2025-26/111</v>
      </c>
      <c r="E9" s="123"/>
      <c r="F9" s="97" t="str">
        <f>'Annual Expenditure'!F464</f>
        <v>Cleaner Care Ltd - VH cleaning for December (x2, none in Nov)</v>
      </c>
      <c r="G9" s="167">
        <f>'Annual Expenditure'!G464</f>
        <v>102.5</v>
      </c>
      <c r="H9" s="167">
        <f>'Annual Expenditure'!H464</f>
        <v>20.5</v>
      </c>
      <c r="I9" s="167">
        <f>'Annual Expenditure'!I464</f>
        <v>123</v>
      </c>
      <c r="J9" s="97" t="str">
        <f>'Annual Expenditure'!J464</f>
        <v>Bank Transfer</v>
      </c>
      <c r="K9" s="97"/>
      <c r="L9" s="193">
        <f>'Annual Expenditure'!L464</f>
        <v>22</v>
      </c>
      <c r="M9" s="273"/>
      <c r="N9" s="211">
        <f>'Annual Expenditure'!N464</f>
        <v>0.67276400000000014</v>
      </c>
      <c r="O9" s="40"/>
      <c r="Q9" s="64" t="s">
        <v>303</v>
      </c>
    </row>
    <row r="10" spans="2:17" x14ac:dyDescent="0.3">
      <c r="B10" s="32"/>
      <c r="C10" s="394">
        <f>'Annual Expenditure'!C465</f>
        <v>46043</v>
      </c>
      <c r="D10" s="97" t="str">
        <f>'Annual Expenditure'!D465</f>
        <v>2025-26/112</v>
      </c>
      <c r="E10" s="123"/>
      <c r="F10" s="97" t="str">
        <f>'Annual Expenditure'!F465</f>
        <v>HMRC Cumbernaud - Employer NIC 2025/26, Q3 to 05/01/2026</v>
      </c>
      <c r="G10" s="167">
        <f>'Annual Expenditure'!G465</f>
        <v>269.07</v>
      </c>
      <c r="H10" s="167">
        <f>'Annual Expenditure'!H465</f>
        <v>0</v>
      </c>
      <c r="I10" s="167">
        <f>'Annual Expenditure'!I465</f>
        <v>269.07</v>
      </c>
      <c r="J10" s="97" t="str">
        <f>'Annual Expenditure'!J465</f>
        <v>Bank Transfer</v>
      </c>
      <c r="K10" s="97"/>
      <c r="L10" s="193">
        <f>'Annual Expenditure'!L465</f>
        <v>2</v>
      </c>
      <c r="M10" s="43"/>
      <c r="N10" s="391">
        <f>'Annual Expenditure'!N465</f>
        <v>0.70682852102868809</v>
      </c>
      <c r="O10" s="40"/>
      <c r="Q10" s="64" t="s">
        <v>267</v>
      </c>
    </row>
    <row r="11" spans="2:17" x14ac:dyDescent="0.3">
      <c r="B11" s="32"/>
      <c r="C11" s="394">
        <f>'Annual Expenditure'!C466</f>
        <v>45678</v>
      </c>
      <c r="D11" s="97" t="str">
        <f>'Annual Expenditure'!D466</f>
        <v>2025-26/113</v>
      </c>
      <c r="E11" s="322"/>
      <c r="F11" s="97" t="str">
        <f>'Annual Expenditure'!F466</f>
        <v>Ogwen Valley - Donation in lieu of payment for Christmas Tree</v>
      </c>
      <c r="G11" s="167">
        <f>'Annual Expenditure'!G466</f>
        <v>50</v>
      </c>
      <c r="H11" s="167">
        <f>'Annual Expenditure'!H466</f>
        <v>0</v>
      </c>
      <c r="I11" s="167">
        <f>'Annual Expenditure'!I466</f>
        <v>50</v>
      </c>
      <c r="J11" s="97" t="str">
        <f>'Annual Expenditure'!J466</f>
        <v>Bank Transfer</v>
      </c>
      <c r="K11" s="352"/>
      <c r="L11" s="193">
        <f>'Annual Expenditure'!L466</f>
        <v>32</v>
      </c>
      <c r="M11" s="290"/>
      <c r="N11" s="211">
        <f>'Annual Expenditure'!N466</f>
        <v>0.14285714285714285</v>
      </c>
      <c r="O11" s="40"/>
      <c r="Q11" s="64" t="s">
        <v>304</v>
      </c>
    </row>
    <row r="12" spans="2:17" x14ac:dyDescent="0.3">
      <c r="B12" s="32"/>
      <c r="C12" s="394">
        <f>'Annual Expenditure'!C467</f>
        <v>46050</v>
      </c>
      <c r="D12" s="97" t="str">
        <f>'Annual Expenditure'!D467</f>
        <v>2025-26/114</v>
      </c>
      <c r="E12" s="322"/>
      <c r="F12" s="97" t="str">
        <f>'Annual Expenditure'!F467</f>
        <v>OVO Energy Ltd - VH electricity, fixed monthly payment</v>
      </c>
      <c r="G12" s="167">
        <f>'Annual Expenditure'!G467</f>
        <v>65</v>
      </c>
      <c r="H12" s="167">
        <f>'Annual Expenditure'!H467</f>
        <v>0</v>
      </c>
      <c r="I12" s="167">
        <f>'Annual Expenditure'!I467</f>
        <v>65</v>
      </c>
      <c r="J12" s="97" t="str">
        <f>'Annual Expenditure'!J467</f>
        <v>Direct Debit</v>
      </c>
      <c r="K12" s="322"/>
      <c r="L12" s="193">
        <f>'Annual Expenditure'!L467</f>
        <v>22</v>
      </c>
      <c r="M12" s="322"/>
      <c r="N12" s="211">
        <f>'Annual Expenditure'!N467</f>
        <v>0.69876400000000016</v>
      </c>
      <c r="O12" s="40"/>
      <c r="Q12" s="64" t="s">
        <v>510</v>
      </c>
    </row>
    <row r="13" spans="2:17" x14ac:dyDescent="0.3">
      <c r="B13" s="32"/>
      <c r="C13" s="394">
        <f>'Annual Expenditure'!C468</f>
        <v>46050</v>
      </c>
      <c r="D13" s="97" t="str">
        <f>'Annual Expenditure'!D468</f>
        <v>2025-26/115</v>
      </c>
      <c r="E13" s="123"/>
      <c r="F13" s="97" t="str">
        <f>'Annual Expenditure'!F468</f>
        <v>Clerk’s Salary for January</v>
      </c>
      <c r="G13" s="167">
        <f>'Annual Expenditure'!G468</f>
        <v>1014.94</v>
      </c>
      <c r="H13" s="167">
        <f>'Annual Expenditure'!H468</f>
        <v>0</v>
      </c>
      <c r="I13" s="167">
        <f>'Annual Expenditure'!I468</f>
        <v>1014.94</v>
      </c>
      <c r="J13" s="97" t="str">
        <f>'Annual Expenditure'!J468</f>
        <v>S/Order</v>
      </c>
      <c r="K13" s="28"/>
      <c r="L13" s="193">
        <f>'Annual Expenditure'!L468</f>
        <v>1</v>
      </c>
      <c r="M13" s="43"/>
      <c r="N13" s="391">
        <f>'Annual Expenditure'!N468</f>
        <v>0.79365042128516439</v>
      </c>
      <c r="O13" s="40"/>
      <c r="Q13" s="64" t="s">
        <v>305</v>
      </c>
    </row>
    <row r="14" spans="2:17" x14ac:dyDescent="0.3">
      <c r="B14" s="32"/>
      <c r="C14" s="394">
        <f>'Annual Expenditure'!C469</f>
        <v>46050</v>
      </c>
      <c r="D14" s="97" t="str">
        <f>'Annual Expenditure'!D469</f>
        <v>2025-26/116</v>
      </c>
      <c r="E14" s="123"/>
      <c r="F14" s="97" t="str">
        <f>'Annual Expenditure'!F469</f>
        <v>Clerk’s Office Allowance (WFH)</v>
      </c>
      <c r="G14" s="167">
        <f>'Annual Expenditure'!G469</f>
        <v>26</v>
      </c>
      <c r="H14" s="167">
        <f>'Annual Expenditure'!H469</f>
        <v>0</v>
      </c>
      <c r="I14" s="167">
        <f>'Annual Expenditure'!I469</f>
        <v>26</v>
      </c>
      <c r="J14" s="97" t="str">
        <f>'Annual Expenditure'!J469</f>
        <v>S/Order</v>
      </c>
      <c r="K14" s="28"/>
      <c r="L14" s="193">
        <f>'Annual Expenditure'!L469</f>
        <v>3</v>
      </c>
      <c r="M14" s="43"/>
      <c r="N14" s="391">
        <f>'Annual Expenditure'!N469</f>
        <v>0.83333333333333337</v>
      </c>
      <c r="O14" s="40"/>
      <c r="Q14" s="64" t="s">
        <v>306</v>
      </c>
    </row>
    <row r="15" spans="2:17" ht="13.5" thickBot="1" x14ac:dyDescent="0.35">
      <c r="B15" s="216"/>
      <c r="C15" s="102"/>
      <c r="D15" s="103"/>
      <c r="E15" s="127"/>
      <c r="F15" s="104"/>
      <c r="G15" s="50">
        <f>SUM(G4:G14)</f>
        <v>1709.68</v>
      </c>
      <c r="H15" s="50">
        <f>SUM(H4:H14)</f>
        <v>31.92</v>
      </c>
      <c r="I15" s="50">
        <f>SUM(I4:I14)</f>
        <v>1741.6000000000001</v>
      </c>
      <c r="J15" s="105"/>
      <c r="K15" s="102"/>
      <c r="L15" s="107"/>
      <c r="M15" s="144"/>
      <c r="N15" s="108"/>
      <c r="O15" s="40"/>
      <c r="Q15" s="64" t="s">
        <v>307</v>
      </c>
    </row>
    <row r="16" spans="2:17" ht="26.5" thickBot="1" x14ac:dyDescent="0.35">
      <c r="B16" s="205"/>
      <c r="C16" s="210" t="s">
        <v>264</v>
      </c>
      <c r="D16" s="181" t="s">
        <v>1</v>
      </c>
      <c r="E16" s="182" t="s">
        <v>244</v>
      </c>
      <c r="F16" s="180" t="s">
        <v>243</v>
      </c>
      <c r="G16" s="183" t="s">
        <v>229</v>
      </c>
      <c r="H16" s="183" t="s">
        <v>222</v>
      </c>
      <c r="I16" s="183" t="s">
        <v>230</v>
      </c>
      <c r="J16" s="202" t="s">
        <v>262</v>
      </c>
      <c r="K16" s="184" t="s">
        <v>231</v>
      </c>
      <c r="L16" s="183" t="s">
        <v>238</v>
      </c>
      <c r="M16" s="185" t="s">
        <v>259</v>
      </c>
      <c r="N16" s="349" t="s">
        <v>249</v>
      </c>
      <c r="O16" s="40"/>
      <c r="Q16" s="64" t="s">
        <v>308</v>
      </c>
    </row>
    <row r="17" spans="2:17" x14ac:dyDescent="0.3">
      <c r="B17" s="95">
        <v>46054</v>
      </c>
      <c r="C17" s="325"/>
      <c r="D17" s="41"/>
      <c r="E17" s="124"/>
      <c r="F17" s="27"/>
      <c r="G17" s="239"/>
      <c r="H17" s="239"/>
      <c r="I17" s="239"/>
      <c r="J17" s="326"/>
      <c r="K17" s="336"/>
      <c r="L17" s="42"/>
      <c r="M17" s="239"/>
      <c r="N17" s="244"/>
      <c r="O17" s="40"/>
      <c r="Q17" s="64" t="s">
        <v>239</v>
      </c>
    </row>
    <row r="18" spans="2:17" x14ac:dyDescent="0.3">
      <c r="B18" s="95"/>
      <c r="C18" s="97"/>
      <c r="D18" s="41"/>
      <c r="E18" s="124"/>
      <c r="F18" s="96"/>
      <c r="G18" s="110"/>
      <c r="H18" s="110"/>
      <c r="I18" s="110"/>
      <c r="J18" s="214"/>
      <c r="K18" s="242"/>
      <c r="L18" s="112"/>
      <c r="M18" s="145"/>
      <c r="N18" s="244"/>
      <c r="O18" s="40"/>
      <c r="Q18" s="64" t="s">
        <v>309</v>
      </c>
    </row>
    <row r="19" spans="2:17" x14ac:dyDescent="0.3">
      <c r="B19" s="95"/>
      <c r="C19" s="97"/>
      <c r="D19" s="41"/>
      <c r="E19" s="124"/>
      <c r="F19" s="154"/>
      <c r="G19" s="29"/>
      <c r="H19" s="29"/>
      <c r="I19" s="110"/>
      <c r="J19" s="195"/>
      <c r="K19" s="28"/>
      <c r="L19" s="42"/>
      <c r="M19" s="135"/>
      <c r="N19" s="244"/>
      <c r="O19" s="40"/>
      <c r="Q19" s="64" t="s">
        <v>240</v>
      </c>
    </row>
    <row r="20" spans="2:17" x14ac:dyDescent="0.3">
      <c r="B20" s="95"/>
      <c r="C20" s="97"/>
      <c r="D20" s="41"/>
      <c r="E20" s="124"/>
      <c r="F20" s="213"/>
      <c r="G20" s="92"/>
      <c r="H20" s="92"/>
      <c r="I20" s="110"/>
      <c r="J20" s="196"/>
      <c r="K20" s="71"/>
      <c r="L20" s="93"/>
      <c r="M20" s="140"/>
      <c r="N20" s="244"/>
      <c r="O20" s="40"/>
      <c r="Q20" s="64" t="s">
        <v>310</v>
      </c>
    </row>
    <row r="21" spans="2:17" x14ac:dyDescent="0.3">
      <c r="B21" s="95"/>
      <c r="C21" s="97"/>
      <c r="D21" s="41"/>
      <c r="E21" s="124"/>
      <c r="F21" s="27"/>
      <c r="G21" s="272"/>
      <c r="H21" s="29"/>
      <c r="I21" s="29"/>
      <c r="J21" s="192"/>
      <c r="K21" s="71"/>
      <c r="L21" s="93"/>
      <c r="M21" s="140"/>
      <c r="N21" s="244"/>
      <c r="O21" s="40"/>
      <c r="Q21" s="64" t="s">
        <v>511</v>
      </c>
    </row>
    <row r="22" spans="2:17" x14ac:dyDescent="0.3">
      <c r="B22" s="33"/>
      <c r="C22" s="28"/>
      <c r="D22" s="41"/>
      <c r="E22" s="124"/>
      <c r="F22" s="27"/>
      <c r="G22" s="272"/>
      <c r="H22" s="29"/>
      <c r="I22" s="29"/>
      <c r="J22" s="192"/>
      <c r="K22" s="71"/>
      <c r="L22" s="93"/>
      <c r="M22" s="140"/>
      <c r="N22" s="244"/>
      <c r="O22" s="40"/>
      <c r="Q22" s="64" t="s">
        <v>311</v>
      </c>
    </row>
    <row r="23" spans="2:17" ht="13.5" thickBot="1" x14ac:dyDescent="0.35">
      <c r="B23" s="34"/>
      <c r="C23" s="68"/>
      <c r="D23" s="60"/>
      <c r="E23" s="122"/>
      <c r="F23" s="35"/>
      <c r="G23" s="36">
        <f>SUM(G17:G22)</f>
        <v>0</v>
      </c>
      <c r="H23" s="36">
        <f t="shared" ref="H23:I23" si="0">SUM(H17:H22)</f>
        <v>0</v>
      </c>
      <c r="I23" s="36">
        <f t="shared" si="0"/>
        <v>0</v>
      </c>
      <c r="J23" s="69"/>
      <c r="K23" s="68"/>
      <c r="L23" s="61"/>
      <c r="M23" s="138"/>
      <c r="N23" s="62"/>
      <c r="O23" s="40"/>
      <c r="Q23" s="64" t="s">
        <v>312</v>
      </c>
    </row>
    <row r="24" spans="2:17" ht="26.5" thickBot="1" x14ac:dyDescent="0.35">
      <c r="B24" s="328"/>
      <c r="C24" s="329" t="s">
        <v>263</v>
      </c>
      <c r="D24" s="330" t="s">
        <v>1</v>
      </c>
      <c r="E24" s="331" t="s">
        <v>244</v>
      </c>
      <c r="F24" s="332" t="s">
        <v>243</v>
      </c>
      <c r="G24" s="333" t="s">
        <v>229</v>
      </c>
      <c r="H24" s="333" t="s">
        <v>222</v>
      </c>
      <c r="I24" s="333" t="s">
        <v>230</v>
      </c>
      <c r="J24" s="324" t="s">
        <v>262</v>
      </c>
      <c r="K24" s="334" t="s">
        <v>231</v>
      </c>
      <c r="L24" s="333" t="s">
        <v>238</v>
      </c>
      <c r="M24" s="335" t="s">
        <v>259</v>
      </c>
      <c r="N24" s="351" t="s">
        <v>249</v>
      </c>
      <c r="O24" s="40"/>
      <c r="Q24" s="64" t="s">
        <v>268</v>
      </c>
    </row>
    <row r="25" spans="2:17" x14ac:dyDescent="0.3">
      <c r="B25" s="95">
        <v>46082</v>
      </c>
      <c r="C25" s="97"/>
      <c r="D25" s="41"/>
      <c r="E25" s="280"/>
      <c r="F25" s="154"/>
      <c r="G25" s="92"/>
      <c r="H25" s="92"/>
      <c r="I25" s="29"/>
      <c r="J25" s="196"/>
      <c r="K25" s="97"/>
      <c r="L25" s="93"/>
      <c r="M25" s="139"/>
      <c r="N25" s="217"/>
      <c r="O25" s="40"/>
      <c r="Q25" s="266" t="s">
        <v>313</v>
      </c>
    </row>
    <row r="26" spans="2:17" x14ac:dyDescent="0.3">
      <c r="B26" s="32"/>
      <c r="C26" s="97"/>
      <c r="D26" s="41"/>
      <c r="E26" s="280"/>
      <c r="F26" s="154"/>
      <c r="G26" s="92"/>
      <c r="H26" s="92"/>
      <c r="I26" s="29"/>
      <c r="J26" s="196"/>
      <c r="K26" s="97"/>
      <c r="L26" s="93"/>
      <c r="M26" s="142"/>
      <c r="N26" s="217"/>
      <c r="O26" s="40"/>
      <c r="Q26" s="64" t="s">
        <v>241</v>
      </c>
    </row>
    <row r="27" spans="2:17" x14ac:dyDescent="0.3">
      <c r="B27" s="32"/>
      <c r="C27" s="97"/>
      <c r="D27" s="41"/>
      <c r="E27" s="280"/>
      <c r="F27" s="27"/>
      <c r="G27" s="92"/>
      <c r="H27" s="92"/>
      <c r="I27" s="29"/>
      <c r="J27" s="196"/>
      <c r="K27" s="97"/>
      <c r="L27" s="93"/>
      <c r="M27" s="136"/>
      <c r="N27" s="217"/>
      <c r="O27" s="40"/>
      <c r="Q27" s="64" t="s">
        <v>314</v>
      </c>
    </row>
    <row r="28" spans="2:17" x14ac:dyDescent="0.3">
      <c r="B28" s="32"/>
      <c r="C28" s="97"/>
      <c r="D28" s="41"/>
      <c r="E28" s="280"/>
      <c r="F28" s="27"/>
      <c r="G28" s="92"/>
      <c r="H28" s="92"/>
      <c r="I28" s="29"/>
      <c r="J28" s="196"/>
      <c r="K28" s="97"/>
      <c r="L28" s="93"/>
      <c r="M28" s="136"/>
      <c r="N28" s="217"/>
      <c r="O28" s="40"/>
      <c r="Q28" s="64" t="s">
        <v>242</v>
      </c>
    </row>
    <row r="29" spans="2:17" x14ac:dyDescent="0.3">
      <c r="B29" s="32"/>
      <c r="C29" s="97"/>
      <c r="D29" s="41"/>
      <c r="E29" s="280"/>
      <c r="F29" s="114"/>
      <c r="G29" s="92"/>
      <c r="H29" s="92"/>
      <c r="I29" s="29"/>
      <c r="J29" s="323"/>
      <c r="K29" s="97"/>
      <c r="L29" s="93"/>
      <c r="M29" s="136"/>
      <c r="N29" s="217"/>
      <c r="O29" s="40"/>
      <c r="Q29" s="64" t="s">
        <v>272</v>
      </c>
    </row>
    <row r="30" spans="2:17" x14ac:dyDescent="0.3">
      <c r="B30" s="32"/>
      <c r="C30" s="97"/>
      <c r="D30" s="41"/>
      <c r="E30" s="280"/>
      <c r="F30" s="79"/>
      <c r="G30" s="92"/>
      <c r="H30" s="92"/>
      <c r="I30" s="239"/>
      <c r="J30" s="196"/>
      <c r="K30" s="97"/>
      <c r="L30" s="93"/>
      <c r="M30" s="137"/>
      <c r="N30" s="217"/>
      <c r="O30" s="67"/>
      <c r="Q30" s="64" t="s">
        <v>315</v>
      </c>
    </row>
    <row r="31" spans="2:17" x14ac:dyDescent="0.3">
      <c r="B31" s="32"/>
      <c r="C31" s="97"/>
      <c r="D31" s="41"/>
      <c r="E31" s="280"/>
      <c r="F31" s="159"/>
      <c r="G31" s="92"/>
      <c r="H31" s="92"/>
      <c r="I31" s="239"/>
      <c r="J31" s="196"/>
      <c r="K31" s="97"/>
      <c r="L31" s="93"/>
      <c r="M31" s="137"/>
      <c r="N31" s="217"/>
      <c r="O31" s="40"/>
      <c r="Q31" s="64" t="s">
        <v>320</v>
      </c>
    </row>
    <row r="32" spans="2:17" x14ac:dyDescent="0.3">
      <c r="B32" s="32"/>
      <c r="C32" s="97"/>
      <c r="D32" s="41"/>
      <c r="E32" s="280"/>
      <c r="F32" s="159"/>
      <c r="G32" s="92"/>
      <c r="H32" s="92"/>
      <c r="I32" s="239"/>
      <c r="J32" s="196"/>
      <c r="K32" s="97"/>
      <c r="L32" s="93"/>
      <c r="M32" s="137"/>
      <c r="N32" s="217"/>
      <c r="O32" s="40"/>
      <c r="Q32" s="64" t="s">
        <v>316</v>
      </c>
    </row>
    <row r="33" spans="2:17" x14ac:dyDescent="0.3">
      <c r="B33" s="72"/>
      <c r="C33" s="97"/>
      <c r="D33" s="41"/>
      <c r="E33" s="280"/>
      <c r="F33" s="27"/>
      <c r="G33" s="272"/>
      <c r="H33" s="29"/>
      <c r="I33" s="29"/>
      <c r="J33" s="192"/>
      <c r="K33" s="97"/>
      <c r="L33" s="93"/>
      <c r="M33" s="137"/>
      <c r="N33" s="217"/>
      <c r="O33" s="40"/>
      <c r="Q33" s="64" t="s">
        <v>518</v>
      </c>
    </row>
    <row r="34" spans="2:17" x14ac:dyDescent="0.3">
      <c r="B34" s="72"/>
      <c r="C34" s="97"/>
      <c r="D34" s="41"/>
      <c r="E34" s="280"/>
      <c r="F34" s="27"/>
      <c r="G34" s="272"/>
      <c r="H34" s="29"/>
      <c r="I34" s="29"/>
      <c r="J34" s="192"/>
      <c r="K34" s="97"/>
      <c r="L34" s="93"/>
      <c r="M34" s="137"/>
      <c r="N34" s="217"/>
      <c r="O34" s="40"/>
      <c r="Q34" s="64" t="s">
        <v>258</v>
      </c>
    </row>
    <row r="35" spans="2:17" x14ac:dyDescent="0.3">
      <c r="B35" s="72"/>
      <c r="C35" s="97"/>
      <c r="D35" s="41"/>
      <c r="E35" s="124"/>
      <c r="F35" s="74"/>
      <c r="G35" s="327"/>
      <c r="H35" s="92"/>
      <c r="I35" s="92"/>
      <c r="J35" s="309"/>
      <c r="K35" s="97"/>
      <c r="L35" s="93"/>
      <c r="M35" s="137"/>
      <c r="N35" s="217"/>
      <c r="O35" s="40"/>
      <c r="Q35" s="64" t="s">
        <v>317</v>
      </c>
    </row>
    <row r="36" spans="2:17" x14ac:dyDescent="0.3">
      <c r="B36" s="72"/>
      <c r="C36" s="97"/>
      <c r="D36" s="41"/>
      <c r="E36" s="124"/>
      <c r="F36" s="74"/>
      <c r="G36" s="327"/>
      <c r="H36" s="92"/>
      <c r="I36" s="92"/>
      <c r="J36" s="309"/>
      <c r="K36" s="97"/>
      <c r="L36" s="93"/>
      <c r="M36" s="137"/>
      <c r="N36" s="217"/>
      <c r="O36" s="40"/>
      <c r="Q36" s="64" t="s">
        <v>321</v>
      </c>
    </row>
    <row r="37" spans="2:17" x14ac:dyDescent="0.3">
      <c r="B37" s="72"/>
      <c r="C37" s="97"/>
      <c r="D37" s="41"/>
      <c r="E37" s="125"/>
      <c r="F37" s="74"/>
      <c r="G37" s="327"/>
      <c r="H37" s="92"/>
      <c r="I37" s="92"/>
      <c r="J37" s="309"/>
      <c r="K37" s="97"/>
      <c r="L37" s="93"/>
      <c r="M37" s="137"/>
      <c r="N37" s="217"/>
      <c r="O37" s="40"/>
      <c r="Q37" s="281" t="s">
        <v>261</v>
      </c>
    </row>
    <row r="38" spans="2:17" ht="13.5" thickBot="1" x14ac:dyDescent="0.35">
      <c r="B38" s="72"/>
      <c r="C38" s="97"/>
      <c r="D38" s="322"/>
      <c r="E38" s="322"/>
      <c r="F38" s="74"/>
      <c r="G38" s="327"/>
      <c r="H38" s="92"/>
      <c r="I38" s="92"/>
      <c r="J38" s="309"/>
      <c r="K38" s="97"/>
      <c r="L38" s="93"/>
      <c r="M38" s="137"/>
      <c r="N38" s="217"/>
      <c r="O38" s="40"/>
      <c r="Q38" s="65" t="s">
        <v>318</v>
      </c>
    </row>
    <row r="39" spans="2:17" x14ac:dyDescent="0.3">
      <c r="B39" s="72"/>
      <c r="C39" s="97"/>
      <c r="D39" s="322"/>
      <c r="E39" s="322"/>
      <c r="F39" s="74"/>
      <c r="G39" s="327"/>
      <c r="H39" s="92"/>
      <c r="I39" s="92"/>
      <c r="J39" s="309"/>
      <c r="K39" s="97"/>
      <c r="L39" s="93"/>
      <c r="M39" s="137"/>
      <c r="N39" s="217"/>
      <c r="O39" s="40"/>
    </row>
    <row r="40" spans="2:17" x14ac:dyDescent="0.3">
      <c r="B40" s="72"/>
      <c r="C40" s="97"/>
      <c r="D40" s="41"/>
      <c r="E40" s="125"/>
      <c r="F40" s="74"/>
      <c r="G40" s="327"/>
      <c r="H40" s="92"/>
      <c r="I40" s="92"/>
      <c r="J40" s="309"/>
      <c r="K40" s="97"/>
      <c r="L40" s="93"/>
      <c r="M40" s="137"/>
      <c r="N40" s="217"/>
    </row>
    <row r="41" spans="2:17" x14ac:dyDescent="0.3">
      <c r="B41" s="72"/>
      <c r="C41" s="97"/>
      <c r="D41" s="41"/>
      <c r="E41" s="125"/>
      <c r="F41" s="74"/>
      <c r="G41" s="327"/>
      <c r="H41" s="92"/>
      <c r="I41" s="92"/>
      <c r="J41" s="309"/>
      <c r="K41" s="97"/>
      <c r="L41" s="93"/>
      <c r="M41" s="137"/>
      <c r="N41" s="217"/>
    </row>
    <row r="42" spans="2:17" x14ac:dyDescent="0.3">
      <c r="B42" s="72"/>
      <c r="C42" s="97"/>
      <c r="D42" s="41"/>
      <c r="E42" s="125"/>
      <c r="F42" s="74"/>
      <c r="G42" s="327"/>
      <c r="H42" s="92"/>
      <c r="I42" s="92"/>
      <c r="J42" s="309"/>
      <c r="K42" s="97"/>
      <c r="L42" s="93"/>
      <c r="M42" s="137"/>
      <c r="N42" s="217"/>
    </row>
    <row r="43" spans="2:17" ht="13.5" thickBot="1" x14ac:dyDescent="0.35">
      <c r="B43" s="34"/>
      <c r="C43" s="68"/>
      <c r="D43" s="60"/>
      <c r="E43" s="122"/>
      <c r="F43" s="35"/>
      <c r="G43" s="36">
        <f>SUM(G25:G42)</f>
        <v>0</v>
      </c>
      <c r="H43" s="36">
        <f>SUM(H25:H42)</f>
        <v>0</v>
      </c>
      <c r="I43" s="36">
        <f>SUM(I25:I42)</f>
        <v>0</v>
      </c>
      <c r="J43" s="69"/>
      <c r="K43" s="68"/>
      <c r="L43" s="61"/>
      <c r="M43" s="138"/>
      <c r="N43" s="62"/>
    </row>
    <row r="44" spans="2:17" ht="13.5" thickBot="1" x14ac:dyDescent="0.35">
      <c r="C44" s="1"/>
      <c r="D44" s="21"/>
      <c r="E44" s="117"/>
      <c r="G44" s="12"/>
      <c r="H44" s="12"/>
      <c r="I44" s="12"/>
      <c r="J44" s="16"/>
      <c r="K44" s="1"/>
      <c r="L44" s="7"/>
      <c r="M44" s="7"/>
      <c r="N44" s="40"/>
    </row>
    <row r="45" spans="2:17" x14ac:dyDescent="0.3">
      <c r="F45" s="100" t="s">
        <v>254</v>
      </c>
    </row>
    <row r="46" spans="2:17" x14ac:dyDescent="0.3">
      <c r="F46" s="101" t="s">
        <v>251</v>
      </c>
    </row>
    <row r="47" spans="2:17" ht="14.5" x14ac:dyDescent="0.35">
      <c r="F47" s="99" t="s">
        <v>252</v>
      </c>
    </row>
    <row r="48" spans="2:17" ht="15" thickBot="1" x14ac:dyDescent="0.4">
      <c r="F48" s="98" t="s">
        <v>253</v>
      </c>
    </row>
    <row r="49" spans="15:15" x14ac:dyDescent="0.3">
      <c r="O49" s="40"/>
    </row>
    <row r="50" spans="15:15" x14ac:dyDescent="0.3">
      <c r="O50" s="40"/>
    </row>
  </sheetData>
  <phoneticPr fontId="3" type="noConversion"/>
  <conditionalFormatting sqref="N3 N16 N23:N24">
    <cfRule type="containsText" priority="36" operator="containsText" text="N/A">
      <formula>NOT(ISERROR(SEARCH("N/A",N3)))</formula>
    </cfRule>
    <cfRule type="cellIs" dxfId="25" priority="39" stopIfTrue="1" operator="greaterThan">
      <formula>1</formula>
    </cfRule>
    <cfRule type="cellIs" dxfId="24" priority="40" stopIfTrue="1" operator="equal">
      <formula>1</formula>
    </cfRule>
    <cfRule type="cellIs" dxfId="23" priority="41" stopIfTrue="1" operator="between">
      <formula>0.75</formula>
      <formula>0.99</formula>
    </cfRule>
    <cfRule type="cellIs" dxfId="22" priority="42" stopIfTrue="1" operator="greaterThan">
      <formula>1</formula>
    </cfRule>
  </conditionalFormatting>
  <conditionalFormatting sqref="N15">
    <cfRule type="containsText" dxfId="21" priority="29" operator="containsText" text="Reserves">
      <formula>NOT(ISERROR(SEARCH("Reserves",N15)))</formula>
    </cfRule>
    <cfRule type="cellIs" dxfId="20" priority="32" stopIfTrue="1" operator="greaterThan">
      <formula>1</formula>
    </cfRule>
    <cfRule type="cellIs" dxfId="19" priority="33" stopIfTrue="1" operator="equal">
      <formula>1</formula>
    </cfRule>
    <cfRule type="cellIs" dxfId="18" priority="34" stopIfTrue="1" operator="between">
      <formula>0.75</formula>
      <formula>0.99</formula>
    </cfRule>
    <cfRule type="cellIs" dxfId="17" priority="35" stopIfTrue="1" operator="greaterThan">
      <formula>1</formula>
    </cfRule>
  </conditionalFormatting>
  <conditionalFormatting sqref="N3 N15:N24">
    <cfRule type="cellIs" dxfId="16" priority="30" operator="equal">
      <formula>1</formula>
    </cfRule>
    <cfRule type="cellIs" dxfId="15" priority="31" operator="between">
      <formula>0.75</formula>
      <formula>0.99</formula>
    </cfRule>
  </conditionalFormatting>
  <conditionalFormatting sqref="N17:N22">
    <cfRule type="containsText" dxfId="14" priority="22" operator="containsText" text="Reserves">
      <formula>NOT(ISERROR(SEARCH("Reserves",N17)))</formula>
    </cfRule>
    <cfRule type="cellIs" dxfId="13" priority="25" stopIfTrue="1" operator="greaterThan">
      <formula>1</formula>
    </cfRule>
    <cfRule type="cellIs" dxfId="12" priority="26" stopIfTrue="1" operator="equal">
      <formula>1</formula>
    </cfRule>
    <cfRule type="cellIs" dxfId="11" priority="27" stopIfTrue="1" operator="between">
      <formula>0.75</formula>
      <formula>0.99</formula>
    </cfRule>
    <cfRule type="cellIs" dxfId="10" priority="28" stopIfTrue="1" operator="greaterThan">
      <formula>1</formula>
    </cfRule>
  </conditionalFormatting>
  <conditionalFormatting sqref="N25:N42">
    <cfRule type="cellIs" dxfId="9" priority="12" stopIfTrue="1" operator="equal">
      <formula>1</formula>
    </cfRule>
    <cfRule type="cellIs" dxfId="8" priority="13" stopIfTrue="1" operator="between">
      <formula>0.75</formula>
      <formula>0.99</formula>
    </cfRule>
    <cfRule type="cellIs" dxfId="7" priority="14" stopIfTrue="1" operator="greaterThan">
      <formula>1</formula>
    </cfRule>
  </conditionalFormatting>
  <conditionalFormatting sqref="N25:N44">
    <cfRule type="containsText" dxfId="6" priority="1" operator="containsText" text="Reserves">
      <formula>NOT(ISERROR(SEARCH("Reserves",N25)))</formula>
    </cfRule>
    <cfRule type="cellIs" dxfId="5" priority="2" operator="equal">
      <formula>1</formula>
    </cfRule>
    <cfRule type="cellIs" dxfId="4" priority="3" operator="between">
      <formula>0.75</formula>
      <formula>0.99</formula>
    </cfRule>
    <cfRule type="cellIs" dxfId="3" priority="7" stopIfTrue="1" operator="greaterThan">
      <formula>1</formula>
    </cfRule>
  </conditionalFormatting>
  <conditionalFormatting sqref="N43:N44">
    <cfRule type="cellIs" dxfId="2" priority="4" stopIfTrue="1" operator="greaterThan">
      <formula>1</formula>
    </cfRule>
    <cfRule type="cellIs" dxfId="1" priority="5" stopIfTrue="1" operator="equal">
      <formula>1</formula>
    </cfRule>
    <cfRule type="cellIs" dxfId="0" priority="6" stopIfTrue="1" operator="between">
      <formula>0.75</formula>
      <formula>0.99</formula>
    </cfRule>
  </conditionalFormatting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Annual Overview</vt:lpstr>
      <vt:lpstr>Annual Receipts</vt:lpstr>
      <vt:lpstr>Annual Expenditure</vt:lpstr>
      <vt:lpstr>Expenditure Q1</vt:lpstr>
      <vt:lpstr>Expenditure Q2</vt:lpstr>
      <vt:lpstr>Expenditure Q3</vt:lpstr>
      <vt:lpstr>Expenditure Q4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Bradshaw</dc:creator>
  <cp:lastModifiedBy>Vikki Teasdale</cp:lastModifiedBy>
  <cp:lastPrinted>2025-04-02T12:20:18Z</cp:lastPrinted>
  <dcterms:created xsi:type="dcterms:W3CDTF">2015-07-07T09:55:35Z</dcterms:created>
  <dcterms:modified xsi:type="dcterms:W3CDTF">2026-01-14T10:09:56Z</dcterms:modified>
</cp:coreProperties>
</file>